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C:\Users\carlos.cmgr.PF\Desktop\Manutenção Predial\"/>
    </mc:Choice>
  </mc:AlternateContent>
  <xr:revisionPtr revIDLastSave="0" documentId="13_ncr:1_{E1738C38-5856-4808-B6EF-669ACE5F7907}" xr6:coauthVersionLast="36" xr6:coauthVersionMax="47" xr10:uidLastSave="{00000000-0000-0000-0000-000000000000}"/>
  <bookViews>
    <workbookView xWindow="0" yWindow="0" windowWidth="19200" windowHeight="6930" tabRatio="807" activeTab="10" xr2:uid="{8CDBB230-0718-4F83-8273-0E987DE1B2C5}"/>
  </bookViews>
  <sheets>
    <sheet name="Notas Explicativas" sheetId="14" r:id="rId1"/>
    <sheet name="PROPOSTA" sheetId="13" r:id="rId2"/>
    <sheet name="Eletrotécnico" sheetId="3" r:id="rId3"/>
    <sheet name="Técnico de Automação" sheetId="1" r:id="rId4"/>
    <sheet name="Técnico em Ar Cond" sheetId="5" r:id="rId5"/>
    <sheet name="Artífice" sheetId="6" r:id="rId6"/>
    <sheet name="Insumos" sheetId="9" r:id="rId7"/>
    <sheet name="Custos de Viagens" sheetId="2" r:id="rId8"/>
    <sheet name="Materiais e Peças" sheetId="10" r:id="rId9"/>
    <sheet name="Serviços Eventuais" sheetId="11" r:id="rId10"/>
    <sheet name="Serviços Especializados" sheetId="12"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2" l="1"/>
  <c r="J11" i="12"/>
  <c r="J10" i="12"/>
  <c r="J9" i="12"/>
  <c r="J12" i="11"/>
  <c r="J10" i="11"/>
  <c r="J11" i="11"/>
  <c r="J9" i="11"/>
  <c r="J12" i="10"/>
  <c r="J10" i="10"/>
  <c r="J11" i="10"/>
  <c r="F3" i="10"/>
  <c r="F4" i="10"/>
  <c r="F5" i="10"/>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22" i="10"/>
  <c r="F123" i="10"/>
  <c r="F124" i="10"/>
  <c r="F125" i="10"/>
  <c r="F126" i="10"/>
  <c r="F127" i="10"/>
  <c r="F128" i="10"/>
  <c r="F129" i="10"/>
  <c r="F130" i="10"/>
  <c r="F131" i="10"/>
  <c r="F132" i="10"/>
  <c r="F133" i="10"/>
  <c r="F134" i="10"/>
  <c r="F135" i="10"/>
  <c r="F136" i="10"/>
  <c r="F137" i="10"/>
  <c r="F138" i="10"/>
  <c r="F139" i="10"/>
  <c r="F140" i="10"/>
  <c r="F141" i="10"/>
  <c r="F142" i="10"/>
  <c r="F143" i="10"/>
  <c r="F144" i="10"/>
  <c r="F145" i="10"/>
  <c r="F146" i="10"/>
  <c r="F147" i="10"/>
  <c r="F148" i="10"/>
  <c r="F149" i="10"/>
  <c r="F150" i="10"/>
  <c r="F151" i="10"/>
  <c r="F152" i="10"/>
  <c r="F153" i="10"/>
  <c r="F154" i="10"/>
  <c r="F155" i="10"/>
  <c r="F156" i="10"/>
  <c r="F157" i="10"/>
  <c r="F158" i="10"/>
  <c r="F159" i="10"/>
  <c r="F160" i="10"/>
  <c r="F161" i="10"/>
  <c r="F162" i="10"/>
  <c r="F163" i="10"/>
  <c r="F164" i="10"/>
  <c r="F165" i="10"/>
  <c r="F166" i="10"/>
  <c r="F167" i="10"/>
  <c r="F168" i="10"/>
  <c r="F169" i="10"/>
  <c r="F170" i="10"/>
  <c r="F171" i="10"/>
  <c r="F172" i="10"/>
  <c r="F173" i="10"/>
  <c r="F174" i="10"/>
  <c r="F175" i="10"/>
  <c r="F176" i="10"/>
  <c r="F177" i="10"/>
  <c r="F178" i="10"/>
  <c r="F179" i="10"/>
  <c r="F180" i="10"/>
  <c r="F181" i="10"/>
  <c r="F182" i="10"/>
  <c r="F183" i="10"/>
  <c r="F184" i="10"/>
  <c r="F185" i="10"/>
  <c r="F186" i="10"/>
  <c r="F187" i="10"/>
  <c r="F188" i="10"/>
  <c r="F189" i="10"/>
  <c r="F190" i="10"/>
  <c r="F191" i="10"/>
  <c r="F192" i="10"/>
  <c r="F193" i="10"/>
  <c r="F194" i="10"/>
  <c r="F195" i="10"/>
  <c r="F196" i="10"/>
  <c r="F197" i="10"/>
  <c r="F198" i="10"/>
  <c r="F199" i="10"/>
  <c r="F200" i="10"/>
  <c r="F201" i="10"/>
  <c r="F202"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F227" i="10"/>
  <c r="F228" i="10"/>
  <c r="F229" i="10"/>
  <c r="F230" i="10"/>
  <c r="F231" i="10"/>
  <c r="F232" i="10"/>
  <c r="F233" i="10"/>
  <c r="F234" i="10"/>
  <c r="F235" i="10"/>
  <c r="F236" i="10"/>
  <c r="F237" i="10"/>
  <c r="F238" i="10"/>
  <c r="F239" i="10"/>
  <c r="F240" i="10"/>
  <c r="F241" i="10"/>
  <c r="F242" i="10"/>
  <c r="F243" i="10"/>
  <c r="F244" i="10"/>
  <c r="F245" i="10"/>
  <c r="F246" i="10"/>
  <c r="F247" i="10"/>
  <c r="F248" i="10"/>
  <c r="F249" i="10"/>
  <c r="F250" i="10"/>
  <c r="F251" i="10"/>
  <c r="F252" i="10"/>
  <c r="F253" i="10"/>
  <c r="F254" i="10"/>
  <c r="F255" i="10"/>
  <c r="F256" i="10"/>
  <c r="F257" i="10"/>
  <c r="F258" i="10"/>
  <c r="F259" i="10"/>
  <c r="F260" i="10"/>
  <c r="F261" i="10"/>
  <c r="F262" i="10"/>
  <c r="F263" i="10"/>
  <c r="F264" i="10"/>
  <c r="F265" i="10"/>
  <c r="F266" i="10"/>
  <c r="F267" i="10"/>
  <c r="F268" i="10"/>
  <c r="F269" i="10"/>
  <c r="F270" i="10"/>
  <c r="F271" i="10"/>
  <c r="F272" i="10"/>
  <c r="F273" i="10"/>
  <c r="F274" i="10"/>
  <c r="F275" i="10"/>
  <c r="F276" i="10"/>
  <c r="F277" i="10"/>
  <c r="F278" i="10"/>
  <c r="F279" i="10"/>
  <c r="F280" i="10"/>
  <c r="F281" i="10"/>
  <c r="F282" i="10"/>
  <c r="F283" i="10"/>
  <c r="F284" i="10"/>
  <c r="F285" i="10"/>
  <c r="F286" i="10"/>
  <c r="F287" i="10"/>
  <c r="G162" i="6"/>
  <c r="G157" i="1"/>
  <c r="D7" i="6"/>
  <c r="D6" i="6"/>
  <c r="D7" i="5"/>
  <c r="D6" i="5"/>
  <c r="D7" i="1"/>
  <c r="D6" i="1"/>
  <c r="G15" i="13"/>
  <c r="E106" i="9"/>
  <c r="E107" i="9"/>
  <c r="G147" i="6"/>
  <c r="G148" i="6"/>
  <c r="G149" i="6"/>
  <c r="G146" i="6"/>
  <c r="G51" i="6"/>
  <c r="G142" i="5"/>
  <c r="G143" i="5"/>
  <c r="G144" i="5"/>
  <c r="G145" i="5"/>
  <c r="G51" i="5"/>
  <c r="G51" i="1"/>
  <c r="G144" i="1"/>
  <c r="G143" i="1"/>
  <c r="G142" i="1"/>
  <c r="G141" i="1"/>
  <c r="D89" i="14"/>
  <c r="D88" i="14"/>
  <c r="D87" i="14"/>
  <c r="D86" i="14"/>
  <c r="D85" i="14"/>
  <c r="D84" i="14"/>
  <c r="D73" i="14"/>
  <c r="D72" i="14"/>
  <c r="D71" i="14"/>
  <c r="D70" i="14"/>
  <c r="D69" i="14"/>
  <c r="D68" i="14"/>
  <c r="D67" i="14"/>
  <c r="D66" i="14"/>
  <c r="D65" i="14"/>
  <c r="D22" i="14"/>
  <c r="D21" i="14"/>
  <c r="D90" i="14" l="1"/>
  <c r="D91" i="14" s="1"/>
  <c r="E91" i="14" s="1"/>
  <c r="D92" i="14" s="1"/>
  <c r="I71" i="3" l="1"/>
  <c r="G49" i="3"/>
  <c r="G36" i="3"/>
  <c r="H15" i="13" l="1"/>
  <c r="F25" i="11" l="1"/>
  <c r="J8" i="12"/>
  <c r="J13" i="12" s="1"/>
  <c r="F14" i="12" s="1"/>
  <c r="F10" i="12"/>
  <c r="F9" i="12"/>
  <c r="F8" i="12"/>
  <c r="F7" i="12"/>
  <c r="F6" i="12"/>
  <c r="F5" i="12"/>
  <c r="F4" i="12"/>
  <c r="F3" i="12"/>
  <c r="F11" i="12" l="1"/>
  <c r="F12" i="12" l="1"/>
  <c r="F16" i="12" s="1"/>
  <c r="G18" i="13" s="1"/>
  <c r="H18" i="13" s="1"/>
  <c r="F15" i="12"/>
  <c r="F42" i="11"/>
  <c r="F41" i="11"/>
  <c r="F40" i="11"/>
  <c r="F39" i="11"/>
  <c r="D38" i="11"/>
  <c r="F38" i="11" s="1"/>
  <c r="D37" i="11"/>
  <c r="F37" i="11" s="1"/>
  <c r="D36" i="11"/>
  <c r="F36" i="11" s="1"/>
  <c r="F35" i="11"/>
  <c r="F34" i="11"/>
  <c r="F33" i="11"/>
  <c r="F32" i="11"/>
  <c r="F31" i="11"/>
  <c r="F30" i="11"/>
  <c r="F29" i="11"/>
  <c r="F28" i="11"/>
  <c r="F27" i="11"/>
  <c r="F26" i="11"/>
  <c r="F24" i="11"/>
  <c r="F23" i="11"/>
  <c r="F22" i="11"/>
  <c r="F21" i="11"/>
  <c r="F20" i="11"/>
  <c r="F19" i="11"/>
  <c r="F18" i="11"/>
  <c r="F17" i="11"/>
  <c r="F16" i="11"/>
  <c r="F15" i="11"/>
  <c r="F14" i="11"/>
  <c r="F13" i="11"/>
  <c r="F12" i="11"/>
  <c r="F11" i="11"/>
  <c r="F10" i="11"/>
  <c r="F9" i="11"/>
  <c r="J8" i="11"/>
  <c r="J13" i="11" s="1"/>
  <c r="F46" i="11" s="1"/>
  <c r="F8" i="11"/>
  <c r="F7" i="11"/>
  <c r="F6" i="11"/>
  <c r="F5" i="11"/>
  <c r="F4" i="11"/>
  <c r="F3" i="11"/>
  <c r="F43" i="11" l="1"/>
  <c r="F44" i="11" l="1"/>
  <c r="F48" i="11" s="1"/>
  <c r="G17" i="13" s="1"/>
  <c r="H17" i="13" s="1"/>
  <c r="F47" i="11"/>
  <c r="J8" i="10" l="1"/>
  <c r="J13" i="10" s="1"/>
  <c r="F291" i="10" s="1"/>
  <c r="F288" i="10" l="1"/>
  <c r="F292" i="10" s="1"/>
  <c r="F289" i="10" l="1"/>
  <c r="F293" i="10" s="1"/>
  <c r="G16" i="13" s="1"/>
  <c r="H16" i="13" s="1"/>
  <c r="I66" i="3"/>
  <c r="E189" i="9" l="1"/>
  <c r="H189" i="9" s="1"/>
  <c r="E188" i="9"/>
  <c r="H188" i="9" s="1"/>
  <c r="E187" i="9"/>
  <c r="H187" i="9" s="1"/>
  <c r="E186" i="9"/>
  <c r="H186" i="9" s="1"/>
  <c r="E185" i="9"/>
  <c r="H185" i="9" s="1"/>
  <c r="H184" i="9"/>
  <c r="E184" i="9"/>
  <c r="E183" i="9"/>
  <c r="H183" i="9" s="1"/>
  <c r="E182" i="9"/>
  <c r="H182" i="9" s="1"/>
  <c r="E181" i="9"/>
  <c r="H181" i="9" s="1"/>
  <c r="E180" i="9"/>
  <c r="H180" i="9" s="1"/>
  <c r="E179" i="9"/>
  <c r="H179" i="9" s="1"/>
  <c r="E178" i="9"/>
  <c r="H178" i="9" s="1"/>
  <c r="E177" i="9"/>
  <c r="H177" i="9" s="1"/>
  <c r="E176" i="9"/>
  <c r="H176" i="9" s="1"/>
  <c r="E175" i="9"/>
  <c r="H175" i="9" s="1"/>
  <c r="E174" i="9"/>
  <c r="H174" i="9" s="1"/>
  <c r="E173" i="9"/>
  <c r="H173" i="9" s="1"/>
  <c r="H172" i="9"/>
  <c r="E172" i="9"/>
  <c r="E171" i="9"/>
  <c r="H171" i="9" s="1"/>
  <c r="H170" i="9"/>
  <c r="E170" i="9"/>
  <c r="E169" i="9"/>
  <c r="H169" i="9" s="1"/>
  <c r="H168" i="9"/>
  <c r="E168" i="9"/>
  <c r="E167" i="9"/>
  <c r="H167" i="9" s="1"/>
  <c r="E166" i="9"/>
  <c r="H166" i="9" s="1"/>
  <c r="E165" i="9"/>
  <c r="H165" i="9" s="1"/>
  <c r="E164" i="9"/>
  <c r="H164" i="9" s="1"/>
  <c r="E163" i="9"/>
  <c r="H163" i="9" s="1"/>
  <c r="E162" i="9"/>
  <c r="H162" i="9" s="1"/>
  <c r="E161" i="9"/>
  <c r="H161" i="9" s="1"/>
  <c r="E160" i="9"/>
  <c r="H160" i="9" s="1"/>
  <c r="E159" i="9"/>
  <c r="H159" i="9" s="1"/>
  <c r="E158" i="9"/>
  <c r="H158" i="9" s="1"/>
  <c r="E157" i="9"/>
  <c r="H157" i="9" s="1"/>
  <c r="H156" i="9"/>
  <c r="E156" i="9"/>
  <c r="E155" i="9"/>
  <c r="H155" i="9" s="1"/>
  <c r="H154" i="9"/>
  <c r="E154" i="9"/>
  <c r="E153" i="9"/>
  <c r="H153" i="9" s="1"/>
  <c r="H152" i="9"/>
  <c r="E152" i="9"/>
  <c r="E151" i="9"/>
  <c r="H151" i="9" s="1"/>
  <c r="E150" i="9"/>
  <c r="H150" i="9" s="1"/>
  <c r="E149" i="9"/>
  <c r="H149" i="9" s="1"/>
  <c r="E148" i="9"/>
  <c r="H148" i="9" s="1"/>
  <c r="E147" i="9"/>
  <c r="H147" i="9" s="1"/>
  <c r="E146" i="9"/>
  <c r="H146" i="9" s="1"/>
  <c r="E145" i="9"/>
  <c r="H145" i="9" s="1"/>
  <c r="E144" i="9"/>
  <c r="H144" i="9" s="1"/>
  <c r="E143" i="9"/>
  <c r="H143" i="9" s="1"/>
  <c r="E142" i="9"/>
  <c r="H142" i="9" s="1"/>
  <c r="E141" i="9"/>
  <c r="H141" i="9" s="1"/>
  <c r="H140" i="9"/>
  <c r="E140" i="9"/>
  <c r="E139" i="9"/>
  <c r="H139" i="9" s="1"/>
  <c r="H138" i="9"/>
  <c r="E138" i="9"/>
  <c r="E137" i="9"/>
  <c r="H137" i="9" s="1"/>
  <c r="H136" i="9"/>
  <c r="E136" i="9"/>
  <c r="E135" i="9"/>
  <c r="H135" i="9" s="1"/>
  <c r="E134" i="9"/>
  <c r="H134" i="9" s="1"/>
  <c r="E133" i="9"/>
  <c r="H133" i="9" s="1"/>
  <c r="E132" i="9"/>
  <c r="H132" i="9" s="1"/>
  <c r="E131" i="9"/>
  <c r="H131" i="9" s="1"/>
  <c r="E130" i="9"/>
  <c r="H130" i="9" s="1"/>
  <c r="E129" i="9"/>
  <c r="H129" i="9" s="1"/>
  <c r="E128" i="9"/>
  <c r="H128" i="9" s="1"/>
  <c r="E127" i="9"/>
  <c r="H127" i="9" s="1"/>
  <c r="E126" i="9"/>
  <c r="H126" i="9" s="1"/>
  <c r="E125" i="9"/>
  <c r="H125" i="9" s="1"/>
  <c r="H124" i="9"/>
  <c r="E124" i="9"/>
  <c r="E123" i="9"/>
  <c r="H123" i="9" s="1"/>
  <c r="H122" i="9"/>
  <c r="E122" i="9"/>
  <c r="E121" i="9"/>
  <c r="H121" i="9" s="1"/>
  <c r="H120" i="9"/>
  <c r="E120" i="9"/>
  <c r="E119" i="9"/>
  <c r="H119" i="9" s="1"/>
  <c r="E118" i="9"/>
  <c r="H118" i="9" s="1"/>
  <c r="E117" i="9"/>
  <c r="H117" i="9" s="1"/>
  <c r="E116" i="9"/>
  <c r="H116" i="9" s="1"/>
  <c r="E115" i="9"/>
  <c r="H115" i="9" s="1"/>
  <c r="E114" i="9"/>
  <c r="H114" i="9" s="1"/>
  <c r="E113" i="9"/>
  <c r="H113" i="9" s="1"/>
  <c r="E112" i="9"/>
  <c r="H112" i="9" s="1"/>
  <c r="E111" i="9"/>
  <c r="H111" i="9" s="1"/>
  <c r="E110" i="9"/>
  <c r="H110" i="9" s="1"/>
  <c r="E109" i="9"/>
  <c r="H109" i="9" s="1"/>
  <c r="H108" i="9"/>
  <c r="E108" i="9"/>
  <c r="H107" i="9"/>
  <c r="H106" i="9"/>
  <c r="E105" i="9"/>
  <c r="H105" i="9" s="1"/>
  <c r="H104" i="9"/>
  <c r="E104" i="9"/>
  <c r="E103" i="9"/>
  <c r="H103" i="9" s="1"/>
  <c r="E102" i="9"/>
  <c r="H102" i="9" s="1"/>
  <c r="E101" i="9"/>
  <c r="H101" i="9" s="1"/>
  <c r="E100" i="9"/>
  <c r="H100" i="9" s="1"/>
  <c r="E99" i="9"/>
  <c r="H99" i="9" s="1"/>
  <c r="E98" i="9"/>
  <c r="H98" i="9" s="1"/>
  <c r="E97" i="9"/>
  <c r="H97" i="9" s="1"/>
  <c r="E96" i="9"/>
  <c r="H96" i="9" s="1"/>
  <c r="E95" i="9"/>
  <c r="H95" i="9" s="1"/>
  <c r="E94" i="9"/>
  <c r="H94" i="9" s="1"/>
  <c r="E93" i="9"/>
  <c r="H93" i="9" s="1"/>
  <c r="H92" i="9"/>
  <c r="E92" i="9"/>
  <c r="E91" i="9"/>
  <c r="H91" i="9" s="1"/>
  <c r="H90" i="9"/>
  <c r="E90" i="9"/>
  <c r="E89" i="9"/>
  <c r="H89" i="9" s="1"/>
  <c r="H88" i="9"/>
  <c r="E88" i="9"/>
  <c r="E87" i="9"/>
  <c r="H87" i="9" s="1"/>
  <c r="H86" i="9"/>
  <c r="E86" i="9"/>
  <c r="E85" i="9"/>
  <c r="H85" i="9" s="1"/>
  <c r="E84" i="9"/>
  <c r="H84" i="9" s="1"/>
  <c r="E83" i="9"/>
  <c r="H83" i="9" s="1"/>
  <c r="E82" i="9"/>
  <c r="H82" i="9" s="1"/>
  <c r="E81" i="9"/>
  <c r="H81" i="9" s="1"/>
  <c r="E80" i="9"/>
  <c r="H80" i="9" s="1"/>
  <c r="E79" i="9"/>
  <c r="H79" i="9" s="1"/>
  <c r="E78" i="9"/>
  <c r="H78" i="9" s="1"/>
  <c r="E77" i="9"/>
  <c r="H77" i="9" s="1"/>
  <c r="H76" i="9"/>
  <c r="E76" i="9"/>
  <c r="E75" i="9"/>
  <c r="H75" i="9" s="1"/>
  <c r="H74" i="9"/>
  <c r="E74" i="9"/>
  <c r="E73" i="9"/>
  <c r="H73" i="9" s="1"/>
  <c r="H72" i="9"/>
  <c r="E72" i="9"/>
  <c r="E71" i="9"/>
  <c r="H71" i="9" s="1"/>
  <c r="H70" i="9"/>
  <c r="E70" i="9"/>
  <c r="E69" i="9"/>
  <c r="H69" i="9" s="1"/>
  <c r="E68" i="9"/>
  <c r="H68" i="9" s="1"/>
  <c r="E67" i="9"/>
  <c r="H67" i="9" s="1"/>
  <c r="E66" i="9"/>
  <c r="H66" i="9" s="1"/>
  <c r="E65" i="9"/>
  <c r="H65" i="9" s="1"/>
  <c r="E64" i="9"/>
  <c r="H64" i="9" s="1"/>
  <c r="E63" i="9"/>
  <c r="H63" i="9" s="1"/>
  <c r="E62" i="9"/>
  <c r="H62" i="9" s="1"/>
  <c r="E61" i="9"/>
  <c r="H61" i="9" s="1"/>
  <c r="H60" i="9"/>
  <c r="E60" i="9"/>
  <c r="E59" i="9"/>
  <c r="H59" i="9" s="1"/>
  <c r="H58" i="9"/>
  <c r="E58" i="9"/>
  <c r="E57" i="9"/>
  <c r="H57" i="9" s="1"/>
  <c r="H56" i="9"/>
  <c r="E56" i="9"/>
  <c r="E55" i="9"/>
  <c r="H55" i="9" s="1"/>
  <c r="H54" i="9"/>
  <c r="E54" i="9"/>
  <c r="E53" i="9"/>
  <c r="H53" i="9" s="1"/>
  <c r="E52" i="9"/>
  <c r="H52" i="9" s="1"/>
  <c r="E51" i="9"/>
  <c r="H51" i="9" s="1"/>
  <c r="E50" i="9"/>
  <c r="H50" i="9" s="1"/>
  <c r="E49" i="9"/>
  <c r="H49" i="9" s="1"/>
  <c r="E48" i="9"/>
  <c r="H48" i="9" s="1"/>
  <c r="E47" i="9"/>
  <c r="H47" i="9" s="1"/>
  <c r="E46" i="9"/>
  <c r="H46" i="9" s="1"/>
  <c r="E45" i="9"/>
  <c r="H45" i="9" s="1"/>
  <c r="E44" i="9"/>
  <c r="H44" i="9" s="1"/>
  <c r="E43" i="9"/>
  <c r="H43" i="9" s="1"/>
  <c r="E42" i="9"/>
  <c r="H42" i="9" s="1"/>
  <c r="E41" i="9"/>
  <c r="H41" i="9" s="1"/>
  <c r="E40" i="9"/>
  <c r="H40" i="9" s="1"/>
  <c r="E39" i="9"/>
  <c r="H39" i="9" s="1"/>
  <c r="E32" i="9"/>
  <c r="G32" i="9" s="1"/>
  <c r="E31" i="9"/>
  <c r="G31" i="9" s="1"/>
  <c r="E24" i="9"/>
  <c r="G24" i="9" s="1"/>
  <c r="E23" i="9"/>
  <c r="G23" i="9" s="1"/>
  <c r="E22" i="9"/>
  <c r="G22" i="9" s="1"/>
  <c r="E21" i="9"/>
  <c r="G21" i="9" s="1"/>
  <c r="E20" i="9"/>
  <c r="G20" i="9" s="1"/>
  <c r="E19" i="9"/>
  <c r="G19" i="9" s="1"/>
  <c r="E18" i="9"/>
  <c r="G18" i="9" s="1"/>
  <c r="E17" i="9"/>
  <c r="G17" i="9" s="1"/>
  <c r="E16" i="9"/>
  <c r="G16" i="9" s="1"/>
  <c r="E15" i="9"/>
  <c r="G15" i="9" s="1"/>
  <c r="E14" i="9"/>
  <c r="G14" i="9" s="1"/>
  <c r="E13" i="9"/>
  <c r="G13" i="9" s="1"/>
  <c r="E12" i="9"/>
  <c r="G12" i="9" s="1"/>
  <c r="E6" i="9"/>
  <c r="G6" i="9" s="1"/>
  <c r="E5" i="9"/>
  <c r="G5" i="9" s="1"/>
  <c r="E4" i="9"/>
  <c r="G4" i="9" s="1"/>
  <c r="E3" i="9"/>
  <c r="G3" i="9" s="1"/>
  <c r="G33" i="9" l="1"/>
  <c r="G34" i="9" s="1"/>
  <c r="G7" i="9"/>
  <c r="G25" i="9"/>
  <c r="G26" i="9" s="1"/>
  <c r="H190" i="9"/>
  <c r="H191" i="9" s="1"/>
  <c r="I68" i="6"/>
  <c r="G131" i="5" l="1"/>
  <c r="G132" i="3"/>
  <c r="G130" i="1"/>
  <c r="G135" i="6"/>
  <c r="G129" i="5"/>
  <c r="G130" i="3"/>
  <c r="G128" i="1"/>
  <c r="G133" i="6"/>
  <c r="G127" i="1"/>
  <c r="G129" i="3"/>
  <c r="G132" i="6"/>
  <c r="G128" i="5"/>
  <c r="G131" i="3"/>
  <c r="G129" i="1"/>
  <c r="G130" i="5"/>
  <c r="G134" i="6"/>
  <c r="I69" i="3"/>
  <c r="G132" i="5" l="1"/>
  <c r="G131" i="1"/>
  <c r="I65" i="1"/>
  <c r="I66" i="6" l="1"/>
  <c r="I65" i="5"/>
  <c r="I65" i="6" l="1"/>
  <c r="G145" i="6"/>
  <c r="G119" i="6"/>
  <c r="G125" i="6" s="1"/>
  <c r="G108" i="6"/>
  <c r="G107" i="6"/>
  <c r="G106" i="6"/>
  <c r="G105" i="6"/>
  <c r="G104" i="6"/>
  <c r="G103" i="6"/>
  <c r="G92" i="6"/>
  <c r="G94" i="6" s="1"/>
  <c r="H91" i="6"/>
  <c r="H89" i="6"/>
  <c r="G90" i="6" s="1"/>
  <c r="G59" i="6"/>
  <c r="G45" i="6"/>
  <c r="G32" i="6"/>
  <c r="G141" i="5"/>
  <c r="G155" i="5"/>
  <c r="G115" i="5"/>
  <c r="G121" i="5" s="1"/>
  <c r="G104" i="5"/>
  <c r="G103" i="5"/>
  <c r="G102" i="5"/>
  <c r="G101" i="5"/>
  <c r="G100" i="5"/>
  <c r="G99" i="5"/>
  <c r="G88" i="5"/>
  <c r="G90" i="5" s="1"/>
  <c r="H87" i="5"/>
  <c r="H85" i="5"/>
  <c r="G86" i="5" s="1"/>
  <c r="I68" i="5"/>
  <c r="G59" i="5"/>
  <c r="G45" i="5"/>
  <c r="G32" i="5"/>
  <c r="G33" i="6" l="1"/>
  <c r="G35" i="6" s="1"/>
  <c r="I64" i="6"/>
  <c r="I74" i="6" s="1"/>
  <c r="G81" i="6" s="1"/>
  <c r="I64" i="5"/>
  <c r="I70" i="5" s="1"/>
  <c r="G77" i="5" s="1"/>
  <c r="G109" i="6"/>
  <c r="G110" i="6" s="1"/>
  <c r="G111" i="6" s="1"/>
  <c r="G155" i="6"/>
  <c r="G100" i="6"/>
  <c r="I103" i="6" s="1"/>
  <c r="G86" i="6"/>
  <c r="G40" i="6"/>
  <c r="G93" i="6"/>
  <c r="G95" i="6" s="1"/>
  <c r="G33" i="5"/>
  <c r="G35" i="5" s="1"/>
  <c r="G82" i="5" s="1"/>
  <c r="G105" i="5"/>
  <c r="G106" i="5" s="1"/>
  <c r="G107" i="5" s="1"/>
  <c r="G89" i="5"/>
  <c r="G91" i="5" s="1"/>
  <c r="G112" i="6" l="1"/>
  <c r="I112" i="6" s="1"/>
  <c r="I44" i="6"/>
  <c r="I43" i="6"/>
  <c r="I106" i="6"/>
  <c r="I104" i="6"/>
  <c r="I108" i="6"/>
  <c r="I107" i="6"/>
  <c r="I110" i="6"/>
  <c r="I105" i="6"/>
  <c r="I94" i="6"/>
  <c r="I90" i="6"/>
  <c r="I93" i="6"/>
  <c r="I89" i="6"/>
  <c r="I92" i="6"/>
  <c r="I91" i="6"/>
  <c r="G96" i="5"/>
  <c r="I99" i="5" s="1"/>
  <c r="G151" i="5"/>
  <c r="G40" i="5"/>
  <c r="G108" i="5"/>
  <c r="I90" i="5"/>
  <c r="I86" i="5"/>
  <c r="I87" i="5"/>
  <c r="I89" i="5"/>
  <c r="I85" i="5"/>
  <c r="I88" i="5"/>
  <c r="I103" i="5" l="1"/>
  <c r="I43" i="5"/>
  <c r="I44" i="5"/>
  <c r="I102" i="5"/>
  <c r="I109" i="6"/>
  <c r="I111" i="6" s="1"/>
  <c r="I45" i="6"/>
  <c r="G79" i="6" s="1"/>
  <c r="G113" i="6"/>
  <c r="I113" i="6" s="1"/>
  <c r="G124" i="6" s="1"/>
  <c r="G126" i="6" s="1"/>
  <c r="G158" i="6" s="1"/>
  <c r="I95" i="6"/>
  <c r="G157" i="6" s="1"/>
  <c r="I106" i="5"/>
  <c r="I100" i="5"/>
  <c r="I101" i="5"/>
  <c r="I104" i="5"/>
  <c r="I108" i="5"/>
  <c r="I91" i="5"/>
  <c r="G153" i="5" s="1"/>
  <c r="G109" i="5"/>
  <c r="I109" i="5" s="1"/>
  <c r="G120" i="5" s="1"/>
  <c r="G122" i="5" s="1"/>
  <c r="G154" i="5" s="1"/>
  <c r="I45" i="5" l="1"/>
  <c r="G48" i="6"/>
  <c r="I52" i="6" s="1"/>
  <c r="I105" i="5"/>
  <c r="I107" i="5" s="1"/>
  <c r="G48" i="5" l="1"/>
  <c r="G75" i="5"/>
  <c r="I57" i="6"/>
  <c r="I55" i="6"/>
  <c r="I56" i="6"/>
  <c r="I53" i="6"/>
  <c r="I54" i="6"/>
  <c r="I51" i="6"/>
  <c r="I58" i="6"/>
  <c r="I54" i="5" l="1"/>
  <c r="I58" i="5"/>
  <c r="I57" i="5"/>
  <c r="I56" i="5"/>
  <c r="I52" i="5"/>
  <c r="I55" i="5"/>
  <c r="I51" i="5"/>
  <c r="I59" i="5" s="1"/>
  <c r="G76" i="5" s="1"/>
  <c r="G78" i="5" s="1"/>
  <c r="G152" i="5" s="1"/>
  <c r="G156" i="5" s="1"/>
  <c r="I53" i="5"/>
  <c r="I59" i="6"/>
  <c r="G80" i="6" s="1"/>
  <c r="G82" i="6" s="1"/>
  <c r="G135" i="5" l="1"/>
  <c r="I139" i="5" s="1"/>
  <c r="G156" i="6"/>
  <c r="G136" i="5" l="1"/>
  <c r="I144" i="5" s="1"/>
  <c r="I140" i="5" l="1"/>
  <c r="G137" i="5" s="1"/>
  <c r="I143" i="5" l="1"/>
  <c r="I142" i="5"/>
  <c r="I145" i="5"/>
  <c r="I141" i="5"/>
  <c r="I146" i="5" s="1"/>
  <c r="G157" i="5" s="1"/>
  <c r="G158" i="5" s="1"/>
  <c r="G160" i="5" s="1"/>
  <c r="G13" i="13" l="1"/>
  <c r="H13" i="13" s="1"/>
  <c r="G142" i="3"/>
  <c r="G116" i="3"/>
  <c r="G122" i="3" s="1"/>
  <c r="G105" i="3"/>
  <c r="G104" i="3"/>
  <c r="G103" i="3"/>
  <c r="G102" i="3"/>
  <c r="G101" i="3"/>
  <c r="G100" i="3"/>
  <c r="G89" i="3"/>
  <c r="G91" i="3" s="1"/>
  <c r="H88" i="3"/>
  <c r="H86" i="3"/>
  <c r="G87" i="3" s="1"/>
  <c r="G60" i="3"/>
  <c r="G90" i="3" s="1"/>
  <c r="G46" i="3"/>
  <c r="G32" i="3"/>
  <c r="F5" i="2"/>
  <c r="D14" i="2"/>
  <c r="D12" i="2"/>
  <c r="E4" i="2" s="1"/>
  <c r="F4" i="2" s="1"/>
  <c r="F3" i="2"/>
  <c r="G34" i="3" l="1"/>
  <c r="I65" i="3"/>
  <c r="G78" i="3" s="1"/>
  <c r="G106" i="3"/>
  <c r="G136" i="6"/>
  <c r="E6" i="2"/>
  <c r="F6" i="2" s="1"/>
  <c r="F7" i="2" s="1"/>
  <c r="G33" i="3"/>
  <c r="G92" i="3"/>
  <c r="G133" i="3" l="1"/>
  <c r="G156" i="3" s="1"/>
  <c r="G107" i="3"/>
  <c r="G108" i="3"/>
  <c r="G109" i="3" s="1"/>
  <c r="G110" i="3" s="1"/>
  <c r="G159" i="6"/>
  <c r="G160" i="6" s="1"/>
  <c r="G139" i="6"/>
  <c r="I143" i="6" s="1"/>
  <c r="G140" i="6" s="1"/>
  <c r="G83" i="3"/>
  <c r="G41" i="3"/>
  <c r="I45" i="3" s="1"/>
  <c r="G152" i="3"/>
  <c r="G97" i="3"/>
  <c r="I86" i="3" l="1"/>
  <c r="I89" i="3"/>
  <c r="I87" i="3"/>
  <c r="I88" i="3"/>
  <c r="I101" i="3"/>
  <c r="I110" i="3"/>
  <c r="G121" i="3" s="1"/>
  <c r="G123" i="3" s="1"/>
  <c r="G155" i="3" s="1"/>
  <c r="I109" i="3"/>
  <c r="I107" i="3"/>
  <c r="I100" i="3"/>
  <c r="I148" i="6"/>
  <c r="I144" i="6"/>
  <c r="G141" i="6" s="1"/>
  <c r="I44" i="3"/>
  <c r="I46" i="3" s="1"/>
  <c r="I105" i="3"/>
  <c r="I102" i="3"/>
  <c r="I103" i="3"/>
  <c r="I104" i="3"/>
  <c r="I90" i="3"/>
  <c r="I91" i="3"/>
  <c r="I52" i="3" l="1"/>
  <c r="I53" i="3"/>
  <c r="I106" i="3"/>
  <c r="I108" i="3" s="1"/>
  <c r="I92" i="3"/>
  <c r="G154" i="3" s="1"/>
  <c r="I147" i="6"/>
  <c r="I145" i="6"/>
  <c r="I150" i="6" s="1"/>
  <c r="G161" i="6" s="1"/>
  <c r="G164" i="6" s="1"/>
  <c r="I149" i="6"/>
  <c r="I146" i="6"/>
  <c r="G76" i="3"/>
  <c r="G14" i="13" l="1"/>
  <c r="H14" i="13" s="1"/>
  <c r="I55" i="3"/>
  <c r="I57" i="3"/>
  <c r="I56" i="3"/>
  <c r="I54" i="3"/>
  <c r="I59" i="3"/>
  <c r="I58" i="3"/>
  <c r="I60" i="3" l="1"/>
  <c r="G77" i="3"/>
  <c r="G79" i="3" s="1"/>
  <c r="G136" i="3" s="1"/>
  <c r="G153" i="3" l="1"/>
  <c r="G157" i="3" s="1"/>
  <c r="I140" i="3"/>
  <c r="G137" i="3" l="1"/>
  <c r="I145" i="3" s="1"/>
  <c r="I141" i="3" l="1"/>
  <c r="G138" i="3" l="1"/>
  <c r="I143" i="3" l="1"/>
  <c r="I142" i="3"/>
  <c r="I147" i="3" s="1"/>
  <c r="G158" i="3" s="1"/>
  <c r="I146" i="3"/>
  <c r="I144" i="3"/>
  <c r="G159" i="3" l="1"/>
  <c r="G161" i="3" s="1"/>
  <c r="I68" i="1"/>
  <c r="G11" i="13" l="1"/>
  <c r="H11" i="13" s="1"/>
  <c r="G140" i="1"/>
  <c r="G154" i="1"/>
  <c r="G115" i="1"/>
  <c r="G121" i="1" s="1"/>
  <c r="G104" i="1"/>
  <c r="G103" i="1"/>
  <c r="G102" i="1"/>
  <c r="G101" i="1"/>
  <c r="G100" i="1"/>
  <c r="G99" i="1"/>
  <c r="G88" i="1"/>
  <c r="H87" i="1"/>
  <c r="H85" i="1"/>
  <c r="G59" i="1"/>
  <c r="G45" i="1"/>
  <c r="G32" i="1"/>
  <c r="I64" i="1" s="1"/>
  <c r="I70" i="1" s="1"/>
  <c r="G77" i="1" l="1"/>
  <c r="G89" i="1"/>
  <c r="G33" i="1"/>
  <c r="G90" i="1"/>
  <c r="G105" i="1"/>
  <c r="G106" i="1" s="1"/>
  <c r="G107" i="1" s="1"/>
  <c r="G86" i="1"/>
  <c r="G35" i="1" l="1"/>
  <c r="G96" i="1" s="1"/>
  <c r="I104" i="1" s="1"/>
  <c r="G91" i="1"/>
  <c r="G40" i="1"/>
  <c r="I44" i="1" s="1"/>
  <c r="G150" i="1"/>
  <c r="G108" i="1"/>
  <c r="G109" i="1" s="1"/>
  <c r="I109" i="1" s="1"/>
  <c r="G120" i="1" s="1"/>
  <c r="G122" i="1" s="1"/>
  <c r="G153" i="1" s="1"/>
  <c r="I101" i="1"/>
  <c r="G82" i="1" l="1"/>
  <c r="I88" i="1" s="1"/>
  <c r="I43" i="1"/>
  <c r="I45" i="1" s="1"/>
  <c r="I102" i="1"/>
  <c r="I106" i="1"/>
  <c r="I100" i="1"/>
  <c r="I99" i="1"/>
  <c r="I108" i="1"/>
  <c r="I103" i="1"/>
  <c r="I87" i="1" l="1"/>
  <c r="I90" i="1"/>
  <c r="I86" i="1"/>
  <c r="I89" i="1"/>
  <c r="I85" i="1"/>
  <c r="I105" i="1"/>
  <c r="I107" i="1" s="1"/>
  <c r="G75" i="1"/>
  <c r="G48" i="1"/>
  <c r="I91" i="1" l="1"/>
  <c r="G152" i="1" s="1"/>
  <c r="I54" i="1"/>
  <c r="I53" i="1"/>
  <c r="I52" i="1"/>
  <c r="I57" i="1"/>
  <c r="I55" i="1"/>
  <c r="I51" i="1"/>
  <c r="I58" i="1"/>
  <c r="I56" i="1"/>
  <c r="I59" i="1" l="1"/>
  <c r="G76" i="1" s="1"/>
  <c r="G78" i="1" s="1"/>
  <c r="G134" i="1" s="1"/>
  <c r="G151" i="1" l="1"/>
  <c r="G155" i="1" s="1"/>
  <c r="I138" i="1" l="1"/>
  <c r="G135" i="1" l="1"/>
  <c r="I143" i="1" s="1"/>
  <c r="I139" i="1" l="1"/>
  <c r="G136" i="1" l="1"/>
  <c r="I144" i="1" l="1"/>
  <c r="I142" i="1"/>
  <c r="I141" i="1"/>
  <c r="I140" i="1"/>
  <c r="I145" i="1" s="1"/>
  <c r="G156" i="1" s="1"/>
  <c r="G159" i="1" s="1"/>
  <c r="G12" i="13" l="1"/>
  <c r="H12" i="13" s="1"/>
  <c r="H19" i="13" s="1"/>
</calcChain>
</file>

<file path=xl/sharedStrings.xml><?xml version="1.0" encoding="utf-8"?>
<sst xmlns="http://schemas.openxmlformats.org/spreadsheetml/2006/main" count="2309" uniqueCount="904">
  <si>
    <t>PLANILHA DE CUSTOS E FORMAÇÃO DE PREÇOS</t>
  </si>
  <si>
    <t>MODELO PARA A CONSOLIDAÇÃO E APRESENTAÇÃO DE PROPOSTAS (IN SEGES/ME 05/2017)</t>
  </si>
  <si>
    <t>Discriminação dos Serviços (dados referentes à contratação)</t>
  </si>
  <si>
    <t>A</t>
  </si>
  <si>
    <t>Data de apresentação da proposta (dia/mês/ano):</t>
  </si>
  <si>
    <t>B</t>
  </si>
  <si>
    <t>Município/UF:</t>
  </si>
  <si>
    <t>C</t>
  </si>
  <si>
    <t>Ano do Acordo, Convenção ou Dissídio Coletivo:</t>
  </si>
  <si>
    <t>D</t>
  </si>
  <si>
    <t>Número de meses de execução contratual</t>
  </si>
  <si>
    <t>24 (vinte e quatro) meses</t>
  </si>
  <si>
    <t>Identificação do Serviço</t>
  </si>
  <si>
    <t>Tipo de serviço</t>
  </si>
  <si>
    <t xml:space="preserve">Unidade de Medida </t>
  </si>
  <si>
    <t>Quantidade (em função da unidade de medida)</t>
  </si>
  <si>
    <t>Dados para composição dos custos referentes a mão de obra</t>
  </si>
  <si>
    <t>I</t>
  </si>
  <si>
    <t>Tipo de Serviço (mesmo serviço com características distintas)</t>
  </si>
  <si>
    <t>II</t>
  </si>
  <si>
    <t>Classificação Brasileira de Ocupações (CBO)</t>
  </si>
  <si>
    <t>III</t>
  </si>
  <si>
    <t>Salário Normativo da Categoria Profissional</t>
  </si>
  <si>
    <t>IV</t>
  </si>
  <si>
    <t>Categoria Profissional (vinculada à execução contratual)</t>
  </si>
  <si>
    <t>V</t>
  </si>
  <si>
    <t>Data-Base da Categoria (dia/mês/ano)</t>
  </si>
  <si>
    <t>Módulo 1 - Composição da Remuneração</t>
  </si>
  <si>
    <t>Composição da Remuneração</t>
  </si>
  <si>
    <t>Valor (R$)</t>
  </si>
  <si>
    <t>Salário-Base</t>
  </si>
  <si>
    <t>Adicional de Periculosidade</t>
  </si>
  <si>
    <t>Outros (especificar)</t>
  </si>
  <si>
    <t>Total</t>
  </si>
  <si>
    <t>Módulo 2 - Encargos e Benefícios Anuais, Mensais e Diários</t>
  </si>
  <si>
    <t>Submódulo 2.1 - 13º (décimo terceiro) Salário, Férias e Adicional de Férias</t>
  </si>
  <si>
    <t>Base de Cálculo do Submódulo 2.1 (Módulo 1) =</t>
  </si>
  <si>
    <t>2.1</t>
  </si>
  <si>
    <t>13º (décimo terceiro) Salário, Férias e Adicional de Férias</t>
  </si>
  <si>
    <t>Percentual (%)</t>
  </si>
  <si>
    <t>13º (décimo terceiro) Salário</t>
  </si>
  <si>
    <t>Adicional de Férias</t>
  </si>
  <si>
    <t>Submódulo 2.2 - Encargos Previdenciários (GPS), Fundo de Garantia por Tempo de Serviço (FGTS) e outras contribuições.</t>
  </si>
  <si>
    <t>Base de Cálculo do Submódulo 2.2 (Módulo 1 + Submódulo 2.1 ) =</t>
  </si>
  <si>
    <t>2.2</t>
  </si>
  <si>
    <t>GPS, FGTS e outras contribuições</t>
  </si>
  <si>
    <t>INSS</t>
  </si>
  <si>
    <t>Salário Educação</t>
  </si>
  <si>
    <t xml:space="preserve">SAT </t>
  </si>
  <si>
    <t>SESC ou SESI</t>
  </si>
  <si>
    <t>E</t>
  </si>
  <si>
    <t>SENAI - SENAC</t>
  </si>
  <si>
    <t>F</t>
  </si>
  <si>
    <t>SEBRAE</t>
  </si>
  <si>
    <t>G</t>
  </si>
  <si>
    <t>INCRA</t>
  </si>
  <si>
    <t>H</t>
  </si>
  <si>
    <t>FGTS</t>
  </si>
  <si>
    <t xml:space="preserve">Total </t>
  </si>
  <si>
    <t>Submódulo 2.3 - Benefícios Mensais e Diários.</t>
  </si>
  <si>
    <t>2.3</t>
  </si>
  <si>
    <t>Benefícios Mensais e Diários</t>
  </si>
  <si>
    <t>Percentual/Desconto</t>
  </si>
  <si>
    <t>Transporte</t>
  </si>
  <si>
    <t>Auxílio-Refeição/Alimentação</t>
  </si>
  <si>
    <t>Plano de Assistência Médica</t>
  </si>
  <si>
    <t>-</t>
  </si>
  <si>
    <t>Seguro de Vida</t>
  </si>
  <si>
    <t>Auxílio Creche</t>
  </si>
  <si>
    <t>Quadro-Resumo do Módulo 2 - Encargos e Benefícios anuais, mensais e diários</t>
  </si>
  <si>
    <t>Encargos e Benefícios Anuais, Mensais e Diários</t>
  </si>
  <si>
    <t>Módulo 3 - Provisão para Rescisão</t>
  </si>
  <si>
    <t>Base de Cálculo do Módulo 3 (Módulo 1) =</t>
  </si>
  <si>
    <t>Provisão para Rescisão</t>
  </si>
  <si>
    <t>Aviso Prévio Indenizado</t>
  </si>
  <si>
    <t>Incidência do FGTS sobre o Aviso Prévio Indenizado</t>
  </si>
  <si>
    <t>Multa do FGTS sobre o Aviso Prévio Indenizado</t>
  </si>
  <si>
    <t>Aviso Prévio Trabalhado</t>
  </si>
  <si>
    <t>Incidência de GPS, FGTS e outras contribuições sobre o Aviso Prévio Trabalhado</t>
  </si>
  <si>
    <t>Multa do FGTS sobre o Aviso Prévio Trabalhado</t>
  </si>
  <si>
    <t>Módulo 4 - Custo de Reposição do Profissional Ausente</t>
  </si>
  <si>
    <t>Submódulo 4.1 - Ausências Legais</t>
  </si>
  <si>
    <t>Base de Cálculo do Módulo 4.1 (Módulo 1) =</t>
  </si>
  <si>
    <t>4.1</t>
  </si>
  <si>
    <t>Ausências Legais</t>
  </si>
  <si>
    <t>%</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</si>
  <si>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</si>
  <si>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</si>
  <si>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</si>
  <si>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</si>
  <si>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</si>
  <si>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</si>
  <si>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Subtotal antes da incidência de proporcional de férias, 1/3 e 13º sobre custo de reposição</t>
  </si>
  <si>
    <t>Proporcional de férias, 1/3 e 13º sobre custo de reposição (exceto afastamento maternidade)</t>
  </si>
  <si>
    <t>Subtotal antes da incidência do submódulo 2.2 sobre custo de reposição</t>
  </si>
  <si>
    <t>Incidência do submódulo 2.2 sobre custo de reposição</t>
  </si>
  <si>
    <t>Submódulo 4.2 - Intrajornada</t>
  </si>
  <si>
    <t>4.2</t>
  </si>
  <si>
    <t>Intrajornada</t>
  </si>
  <si>
    <t>Substituto na cobertura de Intervalo para repouso ou alimentação</t>
  </si>
  <si>
    <t>Quadro-Resumo do Módulo 4 - Custo de Reposição do Profissional Ausente</t>
  </si>
  <si>
    <t>Custo de Reposição do Profissional Ausente</t>
  </si>
  <si>
    <t xml:space="preserve">Substituto nas Ausências Legais </t>
  </si>
  <si>
    <t xml:space="preserve">Substituto na Intrajornada </t>
  </si>
  <si>
    <t>Módulo 5 - Insumos Diversos</t>
  </si>
  <si>
    <t>Insumos Diversos</t>
  </si>
  <si>
    <t>Uniformes</t>
  </si>
  <si>
    <t>Módulo 6 - Custos Indiretos, Tributos e Lucro</t>
  </si>
  <si>
    <r>
      <t>Base de cálculo dos custos indiretos - BCCI = ( M1+M2+M3+M4+M5) =</t>
    </r>
    <r>
      <rPr>
        <sz val="10"/>
        <rFont val="Times New Roman"/>
        <family val="1"/>
      </rPr>
      <t xml:space="preserve"> </t>
    </r>
  </si>
  <si>
    <t>Base de cálculo do lucro - BCL = (BCCI + Custos Indiretos) =</t>
  </si>
  <si>
    <t>Base de cálculo dos tributos - BCT = (BCL+Lucro) / (1- (Somatório da % de tributos)) =</t>
  </si>
  <si>
    <t>Custos Indiretos, Tributos e Lucro</t>
  </si>
  <si>
    <t>Custos Indiretos</t>
  </si>
  <si>
    <t>Lucro</t>
  </si>
  <si>
    <t>Tributos</t>
  </si>
  <si>
    <t>C.1</t>
  </si>
  <si>
    <t>C.2</t>
  </si>
  <si>
    <t>C.3</t>
  </si>
  <si>
    <t>Tributos Municipais (ISS)</t>
  </si>
  <si>
    <t>2. QUADRO-RESUMO DO CUSTO POR EMPREGADO</t>
  </si>
  <si>
    <t>Mão de obra vinculada à execução contratual (valor por empregado)</t>
  </si>
  <si>
    <t>Subtotal (A + B +C+ D+E)</t>
  </si>
  <si>
    <t>Módulo 6 – Custos Indiretos, Tributos e Lucro</t>
  </si>
  <si>
    <t xml:space="preserve">Valor Total por Empregado </t>
  </si>
  <si>
    <t>Processo SEI nº</t>
  </si>
  <si>
    <t>Vila Velha/ES</t>
  </si>
  <si>
    <t>3131-05</t>
  </si>
  <si>
    <t>Posto/mês</t>
  </si>
  <si>
    <t>Técnico Industrial de Nível Médio</t>
  </si>
  <si>
    <t>Gratificação de função (Gerente)</t>
  </si>
  <si>
    <t>Eletrotécnico (Técnico Gerente)</t>
  </si>
  <si>
    <t>Trajeto</t>
  </si>
  <si>
    <t>Despesas</t>
  </si>
  <si>
    <t>Alimentação e Hospedagem</t>
  </si>
  <si>
    <t>Unidade de Medida</t>
  </si>
  <si>
    <t>Quantidade</t>
  </si>
  <si>
    <t>Diária</t>
  </si>
  <si>
    <t>Passagem</t>
  </si>
  <si>
    <t>Valores da Passagens  Rodoviárias</t>
  </si>
  <si>
    <t>Vitória x Cachoeiro de Itapemirim</t>
  </si>
  <si>
    <t>Cachoeiro de Itapemirim x Vitória</t>
  </si>
  <si>
    <t>Vitória x São Mateus</t>
  </si>
  <si>
    <t>São Mateus x Vitória</t>
  </si>
  <si>
    <t>Valor unitário</t>
  </si>
  <si>
    <t xml:space="preserve">Média </t>
  </si>
  <si>
    <t>Destino</t>
  </si>
  <si>
    <t>Deslocamento a Cachoeiro de Itapemirim/ES</t>
  </si>
  <si>
    <t>Deslocamento a São Mateus/ES</t>
  </si>
  <si>
    <t>Valor Estimado Mensal com Viagens</t>
  </si>
  <si>
    <t>3132-15</t>
  </si>
  <si>
    <t>Técnico de Automação</t>
  </si>
  <si>
    <t>Valor Total do Posto</t>
  </si>
  <si>
    <t>Quantidade de empregado por posto</t>
  </si>
  <si>
    <t>Técnico em Ar Condicionado</t>
  </si>
  <si>
    <t>3141-15</t>
  </si>
  <si>
    <t>5143-10</t>
  </si>
  <si>
    <t>Comerciário</t>
  </si>
  <si>
    <t>Artífice Pleno de Manutenção Predial</t>
  </si>
  <si>
    <t>Ticket Refeição</t>
  </si>
  <si>
    <t>B.1</t>
  </si>
  <si>
    <t>B.2</t>
  </si>
  <si>
    <t>Cartão Alimentação</t>
  </si>
  <si>
    <t>Plano de Saúde</t>
  </si>
  <si>
    <t>Plano Odontológico</t>
  </si>
  <si>
    <t>Contribuição Previdenciária sobre Receita Bruta - CPRB</t>
  </si>
  <si>
    <t>C.4</t>
  </si>
  <si>
    <t>CCT nº ES000003/2025</t>
  </si>
  <si>
    <t>CCT 2024-2025 SINTEC-ES x SINAENCO-ES</t>
  </si>
  <si>
    <t>Pregão Eletrônico nº</t>
  </si>
  <si>
    <t>Nome da Empresa</t>
  </si>
  <si>
    <t>CNPJ nº</t>
  </si>
  <si>
    <t>08285.003710/2025-11</t>
  </si>
  <si>
    <t>Item</t>
  </si>
  <si>
    <t>Descrição/Especificação</t>
  </si>
  <si>
    <t>Mês</t>
  </si>
  <si>
    <t>Grupo</t>
  </si>
  <si>
    <t>QUADRO-RESUMO</t>
  </si>
  <si>
    <t>Valor Mensal (R$)</t>
  </si>
  <si>
    <t>Faixa etária de 18 a 43 anos</t>
  </si>
  <si>
    <t>Faixa etária acima de 43 anos</t>
  </si>
  <si>
    <t>DETALHAMENTO DO CUSTO COM CONJUNTO DE UNIFORME</t>
  </si>
  <si>
    <t>Discriminação dos Materiais</t>
  </si>
  <si>
    <t>Durabilidade (meses)</t>
  </si>
  <si>
    <t>Calça e camisa</t>
  </si>
  <si>
    <t>Capa de Chuva</t>
  </si>
  <si>
    <t>Bota</t>
  </si>
  <si>
    <t>Crachá -  SERVIÇO</t>
  </si>
  <si>
    <t>CUSTO MENSAL POR EMPREGADO</t>
  </si>
  <si>
    <t>DETALHAMENTO DO CUSTO COM EPI</t>
  </si>
  <si>
    <t>Bota de PVC preta, cano médio, sem forro</t>
  </si>
  <si>
    <t xml:space="preserve">Avental de raspa e em couro soldador 1,20 x 0,600 </t>
  </si>
  <si>
    <t>Luva de raspa de couro cano curto</t>
  </si>
  <si>
    <t>Cinturão de segurança tipo paraquedista, fivela em aço, ajuste no suspensório, cintura e pernas</t>
  </si>
  <si>
    <t>Trava-quedas em aço para corda de 12 mm, extensor de 25 x 300 mm, com mosquetão tipo gancho trava dupla</t>
  </si>
  <si>
    <t>Talabarte de segurança, 2 mosquetões trava dupla 53 mm de abertura, com absorvedor de energia</t>
  </si>
  <si>
    <t>Capacete de segurança aba frontal com suspensão de polietileno, sem jugular (classe b)</t>
  </si>
  <si>
    <t>Corda de poliamida 12 mm tipo bombeiro, para trabalho em altura 100m</t>
  </si>
  <si>
    <t>Mangote de segurança em raspa de couro</t>
  </si>
  <si>
    <t>Protetor auditivo tipo plug de inserção com cordão, atenuação superior a 15 db</t>
  </si>
  <si>
    <t>Protetor auditivo tipo concha com abafador de ruídos, atenuação acima de 22 db</t>
  </si>
  <si>
    <t>Protetor Solar FPS 30, 600 ml</t>
  </si>
  <si>
    <t>Óculos de segurança contra impactos com lente incolor, armação nylon, com proteção UVA e UVB</t>
  </si>
  <si>
    <t>CUSTO TOTAL MENSAL</t>
  </si>
  <si>
    <t>DETALHAMENTO DO CUSTO COM PGR E PCMSO</t>
  </si>
  <si>
    <t>PGR (NR-01) - antigo PPRA (NR-9)</t>
  </si>
  <si>
    <t xml:space="preserve">PCMSO (NR-7) </t>
  </si>
  <si>
    <t>CUSTO MENSAL</t>
  </si>
  <si>
    <t>DETALHAMENTO DO CUSTO COM EQUIPAMENTOS E FERRAMENTAS</t>
  </si>
  <si>
    <t>Discriminação das Ferramentas</t>
  </si>
  <si>
    <t>Valor Unitário (R$)</t>
  </si>
  <si>
    <t>Valor Total (R$)</t>
  </si>
  <si>
    <t>Vida Útil em Meses</t>
  </si>
  <si>
    <t>Valor Residual</t>
  </si>
  <si>
    <t>Depreciação mensal (R$)</t>
  </si>
  <si>
    <t>Furadeira de impacto 220V 700 W (Ref. DWD 502 DEWALT ou similar)</t>
  </si>
  <si>
    <t>Furadeira de impacto 127V 450 W (Ref. GSB 450 professional BOSCH ou similar)</t>
  </si>
  <si>
    <t>Prumo de centro</t>
  </si>
  <si>
    <t>Martelete perfurador (Ref. D25134K-B2 DEWALT ou similar)</t>
  </si>
  <si>
    <t>Parafusadeira elétrica (Ref. DW257 DEWALT ou similar)</t>
  </si>
  <si>
    <t>Parafusadeira e furadeira de impacto  (Ref. DCF889B DEWALT ou similar)</t>
  </si>
  <si>
    <t>Serra circular 127V (Ref. Dwe560 DEWALT ou similar)</t>
  </si>
  <si>
    <t>Plaina manual elétrica 127V (Ref. KP0800 MAKITA ou similar)</t>
  </si>
  <si>
    <t>Serra tico-tico 127V (Ref. gst650 BOSCH ou similar)</t>
  </si>
  <si>
    <t>Serra mármore 127V (Ref. GDC150 titan BOSCH ou similar)</t>
  </si>
  <si>
    <t>Jogo chave canhão 12 peças crv 3-14mm (Ref. GEDORE 33/12m ou similar)</t>
  </si>
  <si>
    <t>Esmerilhadeira angular 9" 220V, 2200w (Ref. Gws 2200-230 vulcano BOSCH ou similar)</t>
  </si>
  <si>
    <t>Esmerilhadeira angular 220V 4 1/2, 850w (Ref. Gws 850 bosh ou similar)</t>
  </si>
  <si>
    <t>Espátula em aço com cabo de plástico 80mm</t>
  </si>
  <si>
    <t>Esquadro em aço de 30cm</t>
  </si>
  <si>
    <t>Serra de esquadria 10" 220V, 254mm 1650W (Ref. Dw714-b2 DEWALT ou similar)</t>
  </si>
  <si>
    <t>Serra de mesa 10 polegadas 1800w 220V (Ref. DEWALT 7470-b2 ou similar)</t>
  </si>
  <si>
    <t>Tupia 550w, com 2 pinças + jogo de fresas para madeira (Ref. Gkf 550 BOSCH ou similar)</t>
  </si>
  <si>
    <t>Morsa de bancada de 6"</t>
  </si>
  <si>
    <t>Morsa fixa para tubos 3"</t>
  </si>
  <si>
    <t>Conjunto de grampo sargento em aço números 4, 6 e 8 (polegadas)</t>
  </si>
  <si>
    <t>Prumo de face em aço</t>
  </si>
  <si>
    <t>Manifold com mangueiras de 150cm + engates com maleta (Ref. SURYHA R1234YF ou similar)</t>
  </si>
  <si>
    <t>Kit flangeador excêntrico com catraca, cortador e escariador 1/4 a 3/4 (Ref. EOS-N806AM-L ou similar)</t>
  </si>
  <si>
    <t>Nível a laser, alcance mínimo 12m, linhas 1v 1h (Ref. DEWALT DW08802 ou similar)</t>
  </si>
  <si>
    <t>Trena laser de alcance até 30m (Ref. DEWALT DWHT77100-CN ou similar)</t>
  </si>
  <si>
    <t>Trena de 3m</t>
  </si>
  <si>
    <t>Trena de 5m</t>
  </si>
  <si>
    <t>Trena de 8m</t>
  </si>
  <si>
    <t>Trena de 30m</t>
  </si>
  <si>
    <t>Motor compressor 25l 2HP 127V (Ref. Schulz-915.0422 ou similar)</t>
  </si>
  <si>
    <t>Pistola para pintura</t>
  </si>
  <si>
    <t>Misturador de argamassa elétrico de 1600w hm 140 (Ref. Cortag ou similar)</t>
  </si>
  <si>
    <t>Ferro de solda tipo machadinha de 250w 127V</t>
  </si>
  <si>
    <t>Ferro de solda de 60W 127V</t>
  </si>
  <si>
    <t>Ferro de solda de 30W 127V</t>
  </si>
  <si>
    <t>Aspirador de pó e água de 10l 1400W 127V</t>
  </si>
  <si>
    <t>Marreta de 10kg com cabo</t>
  </si>
  <si>
    <t>Marreta de 2kg com cabo</t>
  </si>
  <si>
    <t>Marreta de borracha branco com 60mm com cabo</t>
  </si>
  <si>
    <t>Marreta de 1kg com cabo</t>
  </si>
  <si>
    <t>Marreta de 0,50kg com cabo</t>
  </si>
  <si>
    <t>Talhadeira em aço 1045 3/4 número 12</t>
  </si>
  <si>
    <t>Ponteiro em aço 1045 3/4 número 12</t>
  </si>
  <si>
    <t>Escada de alumínio 08 degraus</t>
  </si>
  <si>
    <t>Escada de alumínio 05 degraus</t>
  </si>
  <si>
    <t>Escada extensiva com 23 degraus tipo de fibra vazada 4,20 x 7,20 própria para postes</t>
  </si>
  <si>
    <t>Escada de alumínio extensiva 3 em 1, 13x2 degraus</t>
  </si>
  <si>
    <t xml:space="preserve">Enxada com cabo </t>
  </si>
  <si>
    <t>Enxadão com cabo</t>
  </si>
  <si>
    <t>Pá com cabo</t>
  </si>
  <si>
    <t>Carrinho de mão, em aço, com capacidade de 45 a 65l / 100kg, pneu com câmara</t>
  </si>
  <si>
    <t>Cavadeira articulada boca de lobo standard (tipo jacaré)</t>
  </si>
  <si>
    <t>Cavadeira reta com cabo metálico com 120 cm (Ref. TRAMONTINA 77553945 ou similar)</t>
  </si>
  <si>
    <t>Chibanca</t>
  </si>
  <si>
    <t>Cortador de piso tipo riscadeira piso porcelanato e azulejo até 1 metro</t>
  </si>
  <si>
    <t>Arco de serra profissional 300mm em aço carbono</t>
  </si>
  <si>
    <t>Turquesa CID 13 para armador de ferro</t>
  </si>
  <si>
    <t>Termo higroanemômetro digital 3 em 1</t>
  </si>
  <si>
    <t>Jogo chave catraca soquete cachimbo encaixe de 1/2" 24 peças (milímetros e polegadas)</t>
  </si>
  <si>
    <t>Chave de corrente para tubos de 5"</t>
  </si>
  <si>
    <t>Alicate hidráulico terminal de compressão terminal 10 - 300 mm</t>
  </si>
  <si>
    <t>Alicate prensa terminais</t>
  </si>
  <si>
    <t>Alicate pressão 12"</t>
  </si>
  <si>
    <t>Alicate universal 8"</t>
  </si>
  <si>
    <t>Alicate de bico meia cana 6.1/2"</t>
  </si>
  <si>
    <t xml:space="preserve">Alicate de corte diagonal 6.1/2" </t>
  </si>
  <si>
    <t>Alicate decapador de fios 8"</t>
  </si>
  <si>
    <t>Alicate bomba de água groovelock 12"</t>
  </si>
  <si>
    <t>Alicate rebitador 4 pontas</t>
  </si>
  <si>
    <t>Martelo tipo unha 29 mm cabo fibra de vidro</t>
  </si>
  <si>
    <t>Caixa de ferramentas plástica 22"</t>
  </si>
  <si>
    <t>Caixa de massa reforçada 20 l</t>
  </si>
  <si>
    <t>Caixa de massa 250 l</t>
  </si>
  <si>
    <t>Caixa organizadora para ferramentas elétricas 24"</t>
  </si>
  <si>
    <t>Serrote profissional 24" (Ref. TRAMONTINA 43242024 ou similar)</t>
  </si>
  <si>
    <t>Serrote para gesso DRYWALL 6"</t>
  </si>
  <si>
    <t>Colher de pedreiro 10"</t>
  </si>
  <si>
    <t>Colher de pedreiro 8"</t>
  </si>
  <si>
    <t>Desempenadeira de madeira de 19cm x 29cm</t>
  </si>
  <si>
    <t>Desempenadeira de madeira de 14cm x 25cm</t>
  </si>
  <si>
    <t>Desempenadeira em PVC 17x30 base lisa</t>
  </si>
  <si>
    <t>Desempenadeira dentada em aço</t>
  </si>
  <si>
    <t>Desempenadeira em aço lisa 48cm com cabo de plástico.</t>
  </si>
  <si>
    <t>Nível de alumínio de 12" com base magnética trapezoidal</t>
  </si>
  <si>
    <t>Nível de alumínio 1000 mm com 3 bolhas</t>
  </si>
  <si>
    <t>Conjunto broca aço rápido 1,5 a 10mm</t>
  </si>
  <si>
    <t>Conjunto broca aço rápido 1 1/16'' a 1/4"</t>
  </si>
  <si>
    <t>Conjunto de broca aço rápido 5/16" (5 unidades)</t>
  </si>
  <si>
    <t>Conjunto broca para concreto 4 a 10 mm</t>
  </si>
  <si>
    <t>Conjunto broca para concreto 12mm (5 unidades)</t>
  </si>
  <si>
    <t>Conjunto SDS plus concreto (6 a 10 mm)</t>
  </si>
  <si>
    <t>Broca para máquina SDS plus concreto 12mm x 210</t>
  </si>
  <si>
    <t>Broca para máquina SDS plus concreto 22,00mm x 340mm x 215mm</t>
  </si>
  <si>
    <t>Jogo de formão em aço carbono com 4 peças (Ref. Western 104/4)</t>
  </si>
  <si>
    <t>Kit ponteira e talhadeira</t>
  </si>
  <si>
    <t>Serra copo diamantada com haste para concreto de 65mm</t>
  </si>
  <si>
    <t>Serra copo diamantada com haste para concreto de 50mm</t>
  </si>
  <si>
    <t>Kit serra copo bimetal 19 a 76mm</t>
  </si>
  <si>
    <t>Serra copo para chapa metálica de 22mm (Ref. STARRET ou similar) bimetal</t>
  </si>
  <si>
    <t>Serra copo para chapa metálica de 25mm (Ref. STARRET ou similar) bimetal</t>
  </si>
  <si>
    <t>Serra copo para chapa metálica de 32mm (Ref. STARRET ou similar) bimetal</t>
  </si>
  <si>
    <t>Serra copo para chapa metálica de 35mm (Ref. STARRET ou similar) bimetal</t>
  </si>
  <si>
    <t>Serra copo para chapa metálica de 38mm (Ref. STARRET ou similar) bimetal</t>
  </si>
  <si>
    <t>Serra copo para chapa metálica de 44mm (Ref. STARRET ou similar) bimetal</t>
  </si>
  <si>
    <t>Serra copo para chapa metálica de 51mm (Ref. STARRET ou similar) bimetal</t>
  </si>
  <si>
    <t>Serra copo para chapa metálica de 60mm (Ref. STARRET ou similar) bimetal</t>
  </si>
  <si>
    <t>Serra copo para chapa metálica de 76mm (Ref. STARRET ou similar) bimetal</t>
  </si>
  <si>
    <t>Suporte de fixação para serra copo bimetal de 32 a 210mm</t>
  </si>
  <si>
    <t>Suporte de fixação para serras copo bimetal 9/16"-1.3/16" (Ref. STARRET A4 ou similar)</t>
  </si>
  <si>
    <t>Mangueira de nível 5/16 x 1,0 mm (metro)</t>
  </si>
  <si>
    <t xml:space="preserve">Jogo com 10 chaves TORX tipo L (T9, T10, T15, T20, T25, T27, T30, T40, T45 e T50) </t>
  </si>
  <si>
    <t xml:space="preserve">Jogo de chaves ALLEN  1,5-10mm com 9 peças (Ref. GEDORE R36605109 ou similar) </t>
  </si>
  <si>
    <t xml:space="preserve">Jogo de chaves ALLEN 1/16 - 1/2 polegadas com 12 peças 44420/212 (GEDORE ou similar) </t>
  </si>
  <si>
    <t>Multímetro tipo alicate amperímetro digital (Ref. MINIPA ET3200 1000A ou similar)</t>
  </si>
  <si>
    <t>Multímetro digital portátil (Ref. FLUKE 117 ou similar)</t>
  </si>
  <si>
    <t>Tesoura tipo aviação, corte reto, VD 10R (VONDER ou similar)</t>
  </si>
  <si>
    <t>Tesoura tipo aviação, corte à esquerda, VD 10E (VONDER ou similar)</t>
  </si>
  <si>
    <t>Jogo de chave combinada de 6mm a 32mm (24 peças) (Ref. (GEDORE ou similar)</t>
  </si>
  <si>
    <t>Jogo de chave combinadas 1/4" a 1.1/4" (16 peças) (Ref. (GEDORE ou similar)</t>
  </si>
  <si>
    <t>Jogo de chave combinada de 6 a 19 mm com 14 peças (Ref. GEDORE 1b14m ou similar)</t>
  </si>
  <si>
    <t>Jogo de chave combinada de 1/4" a 3/4" polegadas com 9 peças (Ref. GEDORE 1B9P ou similar)</t>
  </si>
  <si>
    <t>Jogo de soquetes sextavados 4 a 13mm encaixe de 1/4 pol. com 16 peças (Ref. GEDORE R49003016 ou similar)</t>
  </si>
  <si>
    <t>Jogo de chaves de FENDA/PHILIPS com 5 peças (Ref. GEDORE A150 160S2 ou similar)</t>
  </si>
  <si>
    <t>Chave de FENDA de 1/4 x 8" (Ref. GEDORE ou similar)</t>
  </si>
  <si>
    <t>Chave de FENDA de 5/16 x 6" (Ref. GEDORE ou similar)</t>
  </si>
  <si>
    <t>Chave de PHILIPS de 1/4 x 8" (Ref. GEDORE ou similar)</t>
  </si>
  <si>
    <t>Chave de PHILIPS de 5/16 x 8" (Ref. GEDORE ou similar)</t>
  </si>
  <si>
    <t>Estilete de segurança 25mm (Ref. DEXTER ou similar)</t>
  </si>
  <si>
    <t>Jogo de pontas FENDA para parafusadeira com 5 peças (Ref. IRWIN-1865327 ou similar)</t>
  </si>
  <si>
    <t>Conjuntos de pontas PHILIPS para parafusadeiras com 5 peças (Ref. IRWIN-1865324 ou similar)</t>
  </si>
  <si>
    <t>Jogo de soquetes magnéticos com 5 peças de 6mm a 13mm (Ref. 3039000500 VONDER ou similar)</t>
  </si>
  <si>
    <t>Capacímetro digital (Ref. MINIPA MC-154A ou similar)</t>
  </si>
  <si>
    <t>Termômetro infravermelho digital sem contato, portátil e display LCD (Ref. VONDER TIV550 ou similar).</t>
  </si>
  <si>
    <t>Saca polia com 3 garras articuladas 100mm (Ref. VONDER 3651310000 ou similar)</t>
  </si>
  <si>
    <t>Termômetro digital para ambiente com temperatura máxima e mínima com sensor externo (Ref. INCOTERM ou similar)</t>
  </si>
  <si>
    <t>Hidrolavadora de alta pressão 2CV/400 PSI monofásica 220V (Ref. ELETROPLAS EL400V2 u similar)</t>
  </si>
  <si>
    <t>Saca-polia mini com 3 garras articuladas 70x70mm (Ref. VONDER 3651302000)</t>
  </si>
  <si>
    <t>Maçarico manual portátil para gás (Ref. VONDER 7299100000 ou similar)</t>
  </si>
  <si>
    <t>Cortador de tubos de cobre 1/8" a 5/8" (Ref. VONDER 3559180114 ou similar)</t>
  </si>
  <si>
    <t>Chave de grifo nº 12" (Ref. GEDORE ou similar)</t>
  </si>
  <si>
    <t>Chave de grifo nº 14" (Ref. GEDORE ou similar)</t>
  </si>
  <si>
    <t>Chave de grifo nº 18" (Ref. GEDORE ou similar)</t>
  </si>
  <si>
    <t>Chave de grifo nº 24" (Ref. GEDORE ou similar)</t>
  </si>
  <si>
    <t>Chave de grifo nº 48" (Ref. GEDORE ou similar)</t>
  </si>
  <si>
    <t>Chave ajustável (inglesa) de 12" (Ref. GEDORE 191G450 ou similar)</t>
  </si>
  <si>
    <t>Chave ajustável (inglesa) de 10" (Ref. GEDORE ou similar)</t>
  </si>
  <si>
    <t>Conjunto de solda oxigênio-acetileno com carrinho e reguladores (Ref. FAMABRAS 22030301 ou similar)</t>
  </si>
  <si>
    <t>Refil Cilindro Gás MAPP profissional para maçaricos com 400g</t>
  </si>
  <si>
    <t>Autotransformador 5000VA bivolt 3P (Ref. FIOLUX 10103126111 ou similar)</t>
  </si>
  <si>
    <t>Relógio de Ponto Biométrico, homologado pelo MTE</t>
  </si>
  <si>
    <t>CUSTO DE DEPRECIAÇÃO MENSAL</t>
  </si>
  <si>
    <t>CUSTO MENSAL DE DEPRECIAÇÃO POR EMPREGADO</t>
  </si>
  <si>
    <t>PGR e PCMSO</t>
  </si>
  <si>
    <t>Equipamentos e Ferramentas</t>
  </si>
  <si>
    <t>Equipamentos de Proteção Individual - EPI</t>
  </si>
  <si>
    <t>Valor mensal (R$)</t>
  </si>
  <si>
    <t>Tributos Federais (COFINS - Regime Cumulativo)</t>
  </si>
  <si>
    <t>Tributos Federais (PIS - Regime Cumulativo)</t>
  </si>
  <si>
    <t>DETALHAMENTO DOS CUSTOS DE PEÇAS E MATERIAIS</t>
  </si>
  <si>
    <t>BONIFICAÇÃO E DESPESAS INDIRETAS - BDI DIFERENCIADO</t>
  </si>
  <si>
    <t>Quantidade Estimada Anual</t>
  </si>
  <si>
    <t xml:space="preserve"> Valor  Unitário (R$)</t>
  </si>
  <si>
    <t>Discriminação</t>
  </si>
  <si>
    <t>Taxa (%)</t>
  </si>
  <si>
    <t>Compressor rotativo 9.000 BTU's</t>
  </si>
  <si>
    <t>Unidade</t>
  </si>
  <si>
    <t>Administração Central</t>
  </si>
  <si>
    <t>Compressor rotativo 12.000 BTU's</t>
  </si>
  <si>
    <t>Seguros+Garantias</t>
  </si>
  <si>
    <t>Compressor rotativo 18.000 BTU's</t>
  </si>
  <si>
    <t>Risco</t>
  </si>
  <si>
    <t>Compressor rotativo 24.000 BTU's</t>
  </si>
  <si>
    <t>Despesas Financeiras</t>
  </si>
  <si>
    <t>Compressor scroll 36.000 BTU's</t>
  </si>
  <si>
    <t>Compressor scroll 48.000 BTU's</t>
  </si>
  <si>
    <t>Correia B32</t>
  </si>
  <si>
    <t>6.1</t>
  </si>
  <si>
    <t>ISS</t>
  </si>
  <si>
    <t>Correia B60</t>
  </si>
  <si>
    <t>6.2</t>
  </si>
  <si>
    <t>PIS</t>
  </si>
  <si>
    <t>Correia BX62</t>
  </si>
  <si>
    <t>6.3</t>
  </si>
  <si>
    <t>COFINS</t>
  </si>
  <si>
    <t>Correia BX66</t>
  </si>
  <si>
    <t>6.4</t>
  </si>
  <si>
    <t>CPRB</t>
  </si>
  <si>
    <t>Grelha de retorno/ventilação fixa em alumínio anodizado 400 x 400mm</t>
  </si>
  <si>
    <t>BDI Diferenciado Adotado</t>
  </si>
  <si>
    <t>Cabo de aço galvanizado, alma de fibra 4,76mm 3/16” (m)</t>
  </si>
  <si>
    <t>Metro</t>
  </si>
  <si>
    <t>Correia A144</t>
  </si>
  <si>
    <t>CÁLCULO DO BDI</t>
  </si>
  <si>
    <t>Diluente epóxi (Renner ou similar) 1 litro</t>
  </si>
  <si>
    <t>Desincrustante ácido R-280 (5 litros)</t>
  </si>
  <si>
    <t>Difusor quadrado 4 vias</t>
  </si>
  <si>
    <t>Onde:</t>
  </si>
  <si>
    <t>Solvente para cola a base de resina sintética (1 litro)</t>
  </si>
  <si>
    <t>AC = Taxa representativa das despesas de rateio da Administração Central</t>
  </si>
  <si>
    <t>Exaustor para banheiro 100mm</t>
  </si>
  <si>
    <t>R = Taxa representativa de Riscos</t>
  </si>
  <si>
    <t>Exaustor para banheiro 125mm</t>
  </si>
  <si>
    <t>S = Taxa representativa de Seguros</t>
  </si>
  <si>
    <t>Exaustor para banheiro 150mm</t>
  </si>
  <si>
    <t>G = Taxa representativa de Garantias</t>
  </si>
  <si>
    <t>Duto flexível para renovação de ar em polywest branco DN 150mm, 5 metros</t>
  </si>
  <si>
    <t>DF = Taxa representativa de Despesas Financeiras</t>
  </si>
  <si>
    <t>Duto flexível para renovação de ar em polywest branco DN 100mm, 5 metros</t>
  </si>
  <si>
    <t>L = Taxa representativa do Lucro/Remuneração</t>
  </si>
  <si>
    <t>Exaustor axial, 30 cm, alta vazão</t>
  </si>
  <si>
    <t>T = Taxa representativa da Incidência de Tributos</t>
  </si>
  <si>
    <t>Exaustor axial, 40 cm, alta vazão</t>
  </si>
  <si>
    <t>Fluído gás refrigerante 141B 13,6 kg</t>
  </si>
  <si>
    <t xml:space="preserve">Fluído gás refrigerante R22 13,6 kg </t>
  </si>
  <si>
    <t>Fluído gás refrigerante 410A 11,3 kg</t>
  </si>
  <si>
    <t>Fluído gás refrigerante 134A 13,6 kg</t>
  </si>
  <si>
    <t>Fluído gás refrigerante R32 9,5 kg</t>
  </si>
  <si>
    <t>Fluído gás refrigerante R407c 11,3 kg</t>
  </si>
  <si>
    <t>Rolamento 6201 - zz 8</t>
  </si>
  <si>
    <t>Rolamento 6204 - 2z</t>
  </si>
  <si>
    <t>Rolamento 6206 - 2z</t>
  </si>
  <si>
    <t>Rolamento 6307 - zz</t>
  </si>
  <si>
    <t xml:space="preserve">Rolamento UC 205 - 16 - 00 </t>
  </si>
  <si>
    <t xml:space="preserve">Manta G3 em fibra sintética para filtro de Fancoil´s de sistema refrigeração (Ref. rolo 1,5m largura, 20m comprimento) </t>
  </si>
  <si>
    <t>Metro Quadrado</t>
  </si>
  <si>
    <t>Controle remoto universal ar condicionado</t>
  </si>
  <si>
    <t>Placa universal para ar condicionado split com controle remoto</t>
  </si>
  <si>
    <t>Cabo flexível PVC 750V, 4 condutores de 2,5 mm² (Ref. Rolo com 25m)</t>
  </si>
  <si>
    <t>Luminária de LED quadrada de 18W bivolt</t>
  </si>
  <si>
    <t>Luminária de LED redonda de 18W bivolt</t>
  </si>
  <si>
    <t>Refletor de LED para uso externo de 30W</t>
  </si>
  <si>
    <t>Refletor de LED para uso externo de 50W</t>
  </si>
  <si>
    <t>Refletor de LED para uso externo de 100W</t>
  </si>
  <si>
    <t>Refletor de LED para uso externo de 200W</t>
  </si>
  <si>
    <t>Refletor de LED para uso externo de 400W</t>
  </si>
  <si>
    <t>Bateria automotiva 12Vx150/160Ah (Grupo Gerador)</t>
  </si>
  <si>
    <t>Filtro de linha com 8 tomadas de 20A</t>
  </si>
  <si>
    <t>Régua de tomadas móvel com 03 tomadas de 10A</t>
  </si>
  <si>
    <t>Régua de tomadas móvel com 03 tomadas de 20A</t>
  </si>
  <si>
    <t>Régua de tomadas móvel com 05 tomadas de 10A</t>
  </si>
  <si>
    <t>Régua de tomadas móvel com 05 tomadas de 20A</t>
  </si>
  <si>
    <t>Bateria para Nobreak de 12Vx40Ah</t>
  </si>
  <si>
    <t>Bateria para Nobreak de 12Vx7Ah</t>
  </si>
  <si>
    <t>Abraçadeira de nylon para amarração de cabos, comprimento de 150 x 3,6 mm</t>
  </si>
  <si>
    <t>Abraçadeira de nylon para amarração de cabos, comprimento de 200 x 4,6 mm</t>
  </si>
  <si>
    <t>Abraçadeira de nylon para amarração de cabos, comprimento de 390 x 4,6 mm</t>
  </si>
  <si>
    <t>Abraçadeira tipo D 3/4"</t>
  </si>
  <si>
    <t xml:space="preserve">Automático de boia superior/inferior </t>
  </si>
  <si>
    <t>Bucha nylon s-6 c/ parafuso aço zinc. cab. chata rosca soberba 4,2 x 40mm</t>
  </si>
  <si>
    <t>Bucha nylon s-8 c/ parafuso aço zinc. cab chata rosca soberba 4,8 x 50mm</t>
  </si>
  <si>
    <t>Bucha nylon s-10 c/ parafuso aço zinc cab chata rosca soberba 5.5 x 50mm</t>
  </si>
  <si>
    <t>Bucha nylon s-12 c/ parafuso aço zinc cab chata rosca soberba 5/16 x 65mm</t>
  </si>
  <si>
    <t>Cabo de cobre isolamento anti-chama 0,6/1kV 10,0mm² (1 condutor)</t>
  </si>
  <si>
    <t>Cabo de cobre, flexível, classe 4 ou 5, isolação em PVC/a, antichama bwf-b, 1 condutor, 450/750V, seção nominal 2,5 mm²</t>
  </si>
  <si>
    <t>Cabo de cobre, flexível, classe 4 ou 5, isolação em PVC/a, antichama bwf-b, 1 condutor, 450/750V, seção nominal 4 mm²</t>
  </si>
  <si>
    <t>Cabo de cobre, flexível, classe 4 ou 5, isolação em PVC/a, antichama bwf-b, 1 condutor, 450/750V, seção nominal 6 mm²</t>
  </si>
  <si>
    <t>Cabo de cobre, flexível, classe 4 ou 5, isolação em PVC/a, antichama bwf-b, 1 condutor, 450/750V, seção nominal 10 mm²</t>
  </si>
  <si>
    <t>Cabo de cobre isolamento anti-chama 750V 1,5mm² (1 condutor)</t>
  </si>
  <si>
    <t>Cabo multipolar de cobre, flexível, classe 4 ou 5, isolação em HEPR, cobertura em PVC-st2, antichama bwf-b, 0,6/1 kV, 3 condutores de 1,5 mm²</t>
  </si>
  <si>
    <t>Cabo multipolar de cobre, flexível, classe 4 ou 5, isolação em HEPR, cobertura em PVC-st2, antichama bwf-b, 0,6/1 kV, 3 condutores de 4 mm²</t>
  </si>
  <si>
    <t>Cabo multipolar de cobre, flexível, classe 4 ou 5, isolação em HEPR, cobertura em PVC-st2, antichama bwf-b, 0,6/1 kV, 3 condutores de 2,5 mm²</t>
  </si>
  <si>
    <t>Cabo flexível PVC 750V, 4 condutores de 4,0 mm²</t>
  </si>
  <si>
    <t>Cabo flexível PVC de 16mm² x 750V</t>
  </si>
  <si>
    <t>Cabo flexível PVC de 25mm² x 750V</t>
  </si>
  <si>
    <t>Chuveiro comum em plástico branco, com cano, 3 temperaturas, 5500W (110/220V)</t>
  </si>
  <si>
    <t>Condulete tipo "C" em liga alumínio p/ eletroduto roscado 3/4"</t>
  </si>
  <si>
    <t>Condulete tipo "E" em liga alumínio p/ eletroduto roscado 3/4"</t>
  </si>
  <si>
    <t>Condulete tipo "LR" em liga alumínio p/ eletroduto roscado 3/4"</t>
  </si>
  <si>
    <t>Condulete em PVC, tipo "X", sem tampa, de 3/4"</t>
  </si>
  <si>
    <t>Condulete em PVC, tipo "X", sem tampa, de 1"</t>
  </si>
  <si>
    <t>Tampa para condulete, em PVC, para 1 interruptor</t>
  </si>
  <si>
    <t>Tampa para condulete, em PVC, para tomada hexagonal</t>
  </si>
  <si>
    <t>Conector metálico tipo parafuso fendido (split bolt), para cabos até 16 mm²</t>
  </si>
  <si>
    <t>Curva para eletroduto rígido 3/4</t>
  </si>
  <si>
    <t>Luva para eletroduto rígido 3/4</t>
  </si>
  <si>
    <t>Curva para eletroduto rígido 1"</t>
  </si>
  <si>
    <t>Luva para eletroduto rígido 1"</t>
  </si>
  <si>
    <t>Eletroduto de PVC rígido roscável de 3/4 ", sem luva</t>
  </si>
  <si>
    <t>Eletroduto/condulete de PVC rígido, liso, cor cinza, de 1", para instalações aparentes (NBR 5410)</t>
  </si>
  <si>
    <t>Eletroduto/condulete de PVC rígido, liso, cor cinza, de 3/4", para instalações aparentes (NBR 5410)</t>
  </si>
  <si>
    <t>Eletroduto de PVC rígido roscável de 1 ", sem luva</t>
  </si>
  <si>
    <t>Eletroduto PVC flexível corrugado, cor amarela, de 20 mm</t>
  </si>
  <si>
    <t>Eletroduto PVC flexível corrugado, cor amarela, de 25 mm</t>
  </si>
  <si>
    <t>Eletroduto PVC flexível corrugado, cor amarela, de 32 mm</t>
  </si>
  <si>
    <t>Fita crepe rolo 25mmx50m</t>
  </si>
  <si>
    <t>Fita isolante adesiva anti-chama 19mm x 20m (unidade)</t>
  </si>
  <si>
    <t>Fita isolante auto fusão (m)</t>
  </si>
  <si>
    <t>Interruptor paralelo 10A, 250V (apenas módulo)</t>
  </si>
  <si>
    <t>Interruptor simples 10A, 250V, conjunto montado para embutir 4" x 2" (placa + suporte + módulo)</t>
  </si>
  <si>
    <t>Interruptor simples 10A, 250V (apenas módulo)</t>
  </si>
  <si>
    <t>Interruptores simples (2 módulos) 10A, 250V, conjunto montado para embutir 4" x 2" (placa + suporte + módulos)</t>
  </si>
  <si>
    <t>Interruptores simples (3 módulos) 10A, 250V, conjunto montado para embutir 4" x 2" (placa + suporte + módulos)</t>
  </si>
  <si>
    <t>Sensor de presença bivolt com fotocélula para qualquer tipo de lâmpada, potência máxima 1000 w</t>
  </si>
  <si>
    <t>Lâmpada LED tubular bivolt 18/20W, base G13</t>
  </si>
  <si>
    <t>Lâmpada LED tubular bivolt 9/10W, base G13</t>
  </si>
  <si>
    <t>Lâmpada LED 10W, bivolt branca, bulbo (base E27)</t>
  </si>
  <si>
    <t>Lâmpada LED 15W, bivolt branca, bulbo (base E27)</t>
  </si>
  <si>
    <t xml:space="preserve">Luminária de emergência LED, 2W, autonomia de 6 horas </t>
  </si>
  <si>
    <t>Solda estanho/cobre para conexões de cobre, fio 2,5 mm, carretel 500 gr (sem chumbo)</t>
  </si>
  <si>
    <t>Suporte de fixação para Espelho/placa  4" x 2", para 3 módulos, para tomadas e interruptores (somente suporte)</t>
  </si>
  <si>
    <t>Suporte de fixação para Espelho/placa  4" x 4", para 3 módulos, para tomadas e interruptores (somente suporte)</t>
  </si>
  <si>
    <t>Espelho/placa de 1 posto 4" x 2", para instalação de tomadas e interruptores</t>
  </si>
  <si>
    <t>Espelho/placa  de 2 postos 4" x 2", para instalação de tomadas e interruptores</t>
  </si>
  <si>
    <t>Espelho/placa  de 3 postos 4" x 2", para instalação de tomadas e interruptores</t>
  </si>
  <si>
    <t>Espelho/placa  de 2 postos 4" x 4", para instalação de tomadas e interruptores</t>
  </si>
  <si>
    <t>Espelho/placa  de 4 postos 4" x 4", para instalação de tomadas e interruptores</t>
  </si>
  <si>
    <t>Espelho/placa  de 6 postos 4" x 4", para instalação de tomadas e interruptores</t>
  </si>
  <si>
    <t>Tomada 2p+t 10A, 250V (apenas módulo)</t>
  </si>
  <si>
    <t>Tomada 2p+t 20A, 250V (apenas módulo)</t>
  </si>
  <si>
    <t>Tomada 2p+t 10A, 250V, conjunto montado para embutir 4" x 2" (placa + suporte + módulo)</t>
  </si>
  <si>
    <t>Tomadas (2 módulos) 2p+t 10A, 250V, conjunto montado para embutir 4" x 2" (placa + suporte + módulos)</t>
  </si>
  <si>
    <t>Tomada 2p+t 20A 250V, conjunto montado para embutir 4" x 2" (placa + suporte + módulo)</t>
  </si>
  <si>
    <t>Tomada RJ45, 8 fios, CAT 5e (apenas módulo)</t>
  </si>
  <si>
    <t>Tomada RJ45, 8 fios, CAT 5e, conjunto montado para embutir 4" x 2" (placa + suporte + módulo)</t>
  </si>
  <si>
    <t>Disjuntor termomagnético para trilho DIN (IEC), monopolar, 6 - 32A</t>
  </si>
  <si>
    <t>Disjuntor termomagnético para trilho DIN (IEC), monopolar, 40 - 50A</t>
  </si>
  <si>
    <t>Disjuntor termomagnético para trilho DIN (IEC), monopolar, 63A</t>
  </si>
  <si>
    <t>Disjuntor termomagnético para trilho DIN (IEC), bipolar, 6 - 32A</t>
  </si>
  <si>
    <t>Disjuntor termomagnético para trilho DIN (IEC), bipolar, 40 - 50A</t>
  </si>
  <si>
    <t>Disjuntor termomagnético para trilho DIN (IEC), bipolar, 63A</t>
  </si>
  <si>
    <t>Disjuntor termomagnético para trilho DIN (IEC), tripolar, 10 - 50A</t>
  </si>
  <si>
    <t>Disjuntor termomagnético para trilho DIN (IEC), tripolar, 63A</t>
  </si>
  <si>
    <t>Quadro de distribuição, em PVC, de embutir, com barramento terra/neutro, para 16 disjuntores DIN</t>
  </si>
  <si>
    <t>Quadro de distribuição, em PVC, de embutir, com barramento terra/neutro, para 36 disjuntores DIN</t>
  </si>
  <si>
    <t>Caixa de passagem, em PVC, de 4" x 2", para eletroduto flexível corrugado</t>
  </si>
  <si>
    <t>Caixa de passagem, em PVC, de 4" x 4", para eletroduto flexível corrugado</t>
  </si>
  <si>
    <t xml:space="preserve">Adesivo plástico para PVC frasco (850gr) </t>
  </si>
  <si>
    <t>Anel de borracha, DN 50mm</t>
  </si>
  <si>
    <t xml:space="preserve">Areia fina - retirado da jazida, sem transporte </t>
  </si>
  <si>
    <t>Metro Cúbico</t>
  </si>
  <si>
    <t>Areia media - retirada na jazida, sem transporte</t>
  </si>
  <si>
    <t>Brita 1 - posto pedreira/fornecedor, sem frete</t>
  </si>
  <si>
    <t>Cal hidratado para argamassa kg</t>
  </si>
  <si>
    <t>Quilograma</t>
  </si>
  <si>
    <t>Bloco cerâmico vazado de 19x19x09 (unidade)</t>
  </si>
  <si>
    <t xml:space="preserve">Argamassa colante tipo AC3 </t>
  </si>
  <si>
    <t>Argamassa piso sobre piso</t>
  </si>
  <si>
    <t>Argamassa colante tipo AC1</t>
  </si>
  <si>
    <t>Argamassa colante tipo AC2</t>
  </si>
  <si>
    <t xml:space="preserve">Argamassa pronta para reboco interno e externo </t>
  </si>
  <si>
    <t>Argamassa pronta para contra piso</t>
  </si>
  <si>
    <t>Bacia sanitária (vaso) convencional de louca branca</t>
  </si>
  <si>
    <t>Bacia sanitária com caixa acoplada, de louca branca (sem assento)</t>
  </si>
  <si>
    <t>Cimento Portland CPIII</t>
  </si>
  <si>
    <t>Engate/rabicho flexível plástico (PVC ou abs) branco 1/2 " x 40 cm</t>
  </si>
  <si>
    <t>Fechadura completa para porta interna (Ref. IMAB DUNA 2) padrão PF</t>
  </si>
  <si>
    <t>Maçaneta tipo bola para fechadura IMAB padrão PF</t>
  </si>
  <si>
    <t>Maçaneta tipo alavanca para fechadura IMAB padrão PF</t>
  </si>
  <si>
    <t>Fita veda rosca 18mmx50m</t>
  </si>
  <si>
    <t xml:space="preserve">Forro de fibra mineral em placas, borda reta </t>
  </si>
  <si>
    <t xml:space="preserve">Forro de fibra mineral em placas, borda rebaixada </t>
  </si>
  <si>
    <t xml:space="preserve">Fundo anticorrosivo para metais ferrosos (Zarcão ou similar) </t>
  </si>
  <si>
    <t>Litro</t>
  </si>
  <si>
    <t xml:space="preserve">Primer manta asfáltica </t>
  </si>
  <si>
    <t>Fundo preparador acrílico base água</t>
  </si>
  <si>
    <t>Gesso em pó para revestimentos</t>
  </si>
  <si>
    <t>Gesso cola, em pó para fixação</t>
  </si>
  <si>
    <t>Placa de gesso DRYWALL ST 1,20x1,80x12,5mm</t>
  </si>
  <si>
    <t>Placa de gesso DRYWALL RU 1,20x1,80x12,5mm</t>
  </si>
  <si>
    <t>Perfilado em aço montante 48x30000mm</t>
  </si>
  <si>
    <t>Perfilado em aço guia 48x30000mm</t>
  </si>
  <si>
    <t>Parafuso cabeça trombeta e ponta agulha (gn55), para fixar sist. DRYWALL</t>
  </si>
  <si>
    <t xml:space="preserve">Graute cimento para uso geral  </t>
  </si>
  <si>
    <t>Lavatório/cuba de embutir oval louca cor sem ladrão 50 x 35 cm</t>
  </si>
  <si>
    <t xml:space="preserve">Mangueira de incêndio, tipo 1 diâmetro 1.1/2 ", comprimento: 15,00 m </t>
  </si>
  <si>
    <t xml:space="preserve">Mangueira de incêndio, tipo 2, diâmetro 1.1/2 ", comprimento: 15,00 m </t>
  </si>
  <si>
    <t>Massa corrida para superfícies de ambientes internos</t>
  </si>
  <si>
    <t>Massa acrílica para superfícies internas e externas</t>
  </si>
  <si>
    <t xml:space="preserve">Massa de junta de DRYWALL </t>
  </si>
  <si>
    <t>Fita de papel micro perfurado, 50 mm, para tratamento de juntas de chapa de gesso para DRYWALL</t>
  </si>
  <si>
    <t>Mictório sifonado louca branca sem complementos</t>
  </si>
  <si>
    <t>Mola aérea porta, com largura até 110 cm</t>
  </si>
  <si>
    <t xml:space="preserve">Parafuso de latão cromado para fixar peça sanitária tamanhos S-10 </t>
  </si>
  <si>
    <t>Pasta lubrificante pote (400g)</t>
  </si>
  <si>
    <t xml:space="preserve">Graxa lubrificante </t>
  </si>
  <si>
    <t>Piso em porcelanato, retificado, liso, monocolor, acetinado ou polido, formato maior que 2500 até 6400 cm²</t>
  </si>
  <si>
    <t>Piso em porcelanato, retificado, liso, monocolor, acetinado ou polido, formato maior que 6400 cm²</t>
  </si>
  <si>
    <t>Placa de gesso para forro, de 60 x 60 cm e espessura de 12 mm</t>
  </si>
  <si>
    <t>Extintor com carga de Água Pressurizada AP 10l</t>
  </si>
  <si>
    <t>Extintor com carga de PQS 06kg</t>
  </si>
  <si>
    <t>Extintor com carga de Gás Carbono de 6kg</t>
  </si>
  <si>
    <t>Extintor com carga de Pó Químico Seco, ABC 2a - 20b:c (6kg) IOPES</t>
  </si>
  <si>
    <t>Registro de esfera, PVC, com volante, soldável, 50mm</t>
  </si>
  <si>
    <t>Registro de esfera, PVC, com volante, soldável, 20mm</t>
  </si>
  <si>
    <t>Registro de esfera, PVC, com volante, soldável, 25mm</t>
  </si>
  <si>
    <t>Registro de esfera, PVC, com volante, soldável, 32mm</t>
  </si>
  <si>
    <t>Registro de gaveta 1" - bruto latão</t>
  </si>
  <si>
    <t>Registro de gaveta 1.1/2" - bruto latão</t>
  </si>
  <si>
    <t>Registro de gaveta 2" - bruto latão</t>
  </si>
  <si>
    <t>Registro de gaveta 2.1/2" - bruto latão</t>
  </si>
  <si>
    <t>Registro de gaveta 3" - bruto latão</t>
  </si>
  <si>
    <t>Registro de gaveta 3/4" - bruto latão</t>
  </si>
  <si>
    <t>Registro de pressão 1/2" c/ canopla e acabamento cromado simples</t>
  </si>
  <si>
    <t>Registro de pressão 3/4" c/ canopla e acabamento cromado simples</t>
  </si>
  <si>
    <t>Registro p/ válvula globo angular 45º para hidrante (diâmetro da seção: 2 1/2 ")</t>
  </si>
  <si>
    <t>Rejunte cimentício, qualquer cor</t>
  </si>
  <si>
    <t>Rejunte epóxi, qualquer cor</t>
  </si>
  <si>
    <t>Relé fotoelétrico interno e externo</t>
  </si>
  <si>
    <t>Silicone acético uso geral incolor 280gr</t>
  </si>
  <si>
    <t>Selante elástico (PU) para juntas diversas 400 gr</t>
  </si>
  <si>
    <t>Espuma expansiva 500 ml</t>
  </si>
  <si>
    <t>Telha fibrocimento ondulada e=8mm de 3,66x1,10m (sem amianto)</t>
  </si>
  <si>
    <t>Tinta acrílica super</t>
  </si>
  <si>
    <t>Tinta látex/PVA premium</t>
  </si>
  <si>
    <t>Tinta esmalte sintético premium</t>
  </si>
  <si>
    <t>Tinta acrílica a base de solvente, para sinalização horizontal</t>
  </si>
  <si>
    <t>Diluente aguarrás</t>
  </si>
  <si>
    <t>Tinta epóxi intergard inclusive o componente B - IOPES</t>
  </si>
  <si>
    <t>Tinta epóxi base água premium</t>
  </si>
  <si>
    <t xml:space="preserve">Redutor tipo thinner para acabamento 900ml </t>
  </si>
  <si>
    <t xml:space="preserve">Tinta spray (400ml) </t>
  </si>
  <si>
    <t>Torneira cromada de mesa para lavatório temporizada pressão bica baixa</t>
  </si>
  <si>
    <t>Torneira metálica de 1/2 para jardim</t>
  </si>
  <si>
    <t>Torneira metálica cromada, de mesa/bancada, para cozinha, bica móvel, com arejador, 1/2" ou 3/4"</t>
  </si>
  <si>
    <t>Torneira metálica cromada de mesa para lavatório, bica alta, com arejador</t>
  </si>
  <si>
    <t>Válvula de descarga em metal cromado para mictório com acionamento por pressão e fechamento automático</t>
  </si>
  <si>
    <t>Joelho soldável de 20mm</t>
  </si>
  <si>
    <t>Joelho soldável de 25mm</t>
  </si>
  <si>
    <t>Joelho soldável de 32mm</t>
  </si>
  <si>
    <t>Luva soldável de 20mm</t>
  </si>
  <si>
    <t>Luva soldável de 25mm</t>
  </si>
  <si>
    <t>Luva soldável de 32mm</t>
  </si>
  <si>
    <t>Tê soldável de 20mm</t>
  </si>
  <si>
    <t>Tê soldável de 25mm</t>
  </si>
  <si>
    <t>Tê soldável de 32mm</t>
  </si>
  <si>
    <t>Bucha redução curta de 25x20mm</t>
  </si>
  <si>
    <t>Bucha redução curta de 32x25mm</t>
  </si>
  <si>
    <t>Bucha redução curta de 40x32mm</t>
  </si>
  <si>
    <t>Joelho soldável de 20mmx1/2 com bucha de latão</t>
  </si>
  <si>
    <t>Adaptador soldável de 20x1/2</t>
  </si>
  <si>
    <t>Adaptador soldável de 25x3/4</t>
  </si>
  <si>
    <t>Adaptador soldável de 32x1"</t>
  </si>
  <si>
    <t>Joelho esgoto de 40mm</t>
  </si>
  <si>
    <t>Joelho esgoto de 50mm</t>
  </si>
  <si>
    <t>Joelho esgoto de 100mm</t>
  </si>
  <si>
    <t>Tê esgoto de 40mm</t>
  </si>
  <si>
    <t>Tê esgoto de 50mm</t>
  </si>
  <si>
    <t>Tê esgoto de 100mm</t>
  </si>
  <si>
    <t>Luva simples para esgoto 40mm</t>
  </si>
  <si>
    <t>Luva simples para esgoto 50mm</t>
  </si>
  <si>
    <t>Luva simples para esgoto 100mm</t>
  </si>
  <si>
    <t>Luva de corre 100mm</t>
  </si>
  <si>
    <t>Junção simples para esgoto 50mm</t>
  </si>
  <si>
    <t>Junção simples para esgoto 100mm</t>
  </si>
  <si>
    <t>Tubo soldável de 20mm</t>
  </si>
  <si>
    <t>Tubo soldável de 25mm</t>
  </si>
  <si>
    <t>Tubo soldável de 40mm</t>
  </si>
  <si>
    <t>Tubo de esgoto de 40mm</t>
  </si>
  <si>
    <t>Tubo de esgoto de 60mm</t>
  </si>
  <si>
    <t>Tubo de esgoto de 100mm</t>
  </si>
  <si>
    <t>Tubo de cobre flexível, d = 1/4 ", e = 0,79 mm, para ar-condicionado</t>
  </si>
  <si>
    <t>Tubo de cobre flexível, d = 1/2 ", e = 0,79 mm, para ar-condicionado</t>
  </si>
  <si>
    <t>Tubo de cobre flexível, d = 5/8 ", e = 0,79 mm, para ar-condicionado</t>
  </si>
  <si>
    <t>Tubo de cobre flexível, d = 3/8 ", e = 0,79 mm, para ar-condicionado</t>
  </si>
  <si>
    <t>Tubo polietileno isolamento térmico de tubulação de ar condicionado, DN 1/4", e= 10 mm</t>
  </si>
  <si>
    <t>Tubo polietileno isolamento térmico de tubulação de ar condicionado, DN 1/2", e= 10 mm</t>
  </si>
  <si>
    <t>Tubo polietileno isolamento térmico de tubulação de ar condicionado, DN 3/8", e= 10 mm</t>
  </si>
  <si>
    <t>Tubo polietileno isolamento térmico de tubulação de ar condicionado, DN 5/8", e= 10 mm</t>
  </si>
  <si>
    <t>Espelho cristal e = 4 mm</t>
  </si>
  <si>
    <t xml:space="preserve">Vidro liso fume e = 6mm </t>
  </si>
  <si>
    <t>Vidro liso incolor e = 6mm</t>
  </si>
  <si>
    <t>Fechadura de embutir para mobiliários, em aço inox com acabamento cromado, com abas laterais, cilindro com 22 mm de diâmetro, incluindo chave com perfil metálico</t>
  </si>
  <si>
    <t>Fechadura auxiliar de segurança para porta externa, em aço inox, broca de 45 a 55 mm, lingueta com 3 avanços, incluindo 2 chaves tipo cilindro (TIPO TETRA)</t>
  </si>
  <si>
    <t>Placa de PVC ou acrílico, (30x11)cm, com espessura de 1,5mm, para identificação de portas</t>
  </si>
  <si>
    <t>Refil para purificador IBBL CZ+7 (original IBBL ou similar e compatível) Padrão PF</t>
  </si>
  <si>
    <t>Refil para purificado IBBL C+3 / natural (original Biblol. similar e compatível) Padrão PF</t>
  </si>
  <si>
    <t>Refil para filtros 3m igualar AP200 (original 3m ou similar e compatível) Padrão PF</t>
  </si>
  <si>
    <t>Refil para purificador de água LIBELL FPA 16 (original LIBELL ou similar e compatível) Padrão PF</t>
  </si>
  <si>
    <t>Câmera externa bullet infravermelho, multi HD, sistema INTELBRAS (Ref. 1015B INTELBRAS ou similar e compatível) Padrão PF</t>
  </si>
  <si>
    <t>Câmera bullet infraver. Multi HD 4x1 sistema INTELBRAS (Ref.  VHD3230 b G7 INTELBRAS ou similar e compatível) Padrão PF</t>
  </si>
  <si>
    <t>Placa de sinalização de segurança contra incêndio, fotoluminescente, quadrada, 20 x 20 cm, em PVC 2mm antichamas (símbolos, cores e pictogramas conforme NBR 16820)</t>
  </si>
  <si>
    <t>Placa de sinalização de segurança contra incêndio, fotoluminescente, retangular, 13x26 cm, em PVC 2mm antichamas (símbolos, cores e pictogramas conforme NBR 16820)</t>
  </si>
  <si>
    <t>Placa de sinalização de segurança contra incêndio, fotoluminescente, retangular, 12x40 cm, em PVC 2mm antichamas (símbolos, cores e pictogramas conforme NBR 16820)</t>
  </si>
  <si>
    <t>Placa de sinalização de segurança contra incêndio, fotoluminescente, retangular, 20x40 cm, em PVC 2mm antichamas (símbolos, cores e pictogramas conforme NBR 16820)</t>
  </si>
  <si>
    <t>Persiana tipo rolo, tela solar, bloqueio UV 95%, poliéster/PVC</t>
  </si>
  <si>
    <t>Persiana tipo rolo, blackout, bloqueio UV 100%, tecido 100% poliéster</t>
  </si>
  <si>
    <t>Assento sanitário em polipropileno branco (Ref. Deca Vogue Plus ou similar)</t>
  </si>
  <si>
    <t>Subtotal Estimado Anual</t>
  </si>
  <si>
    <t>Subtotal Estimado Mensal</t>
  </si>
  <si>
    <t>Total Estimado Anual com BDI</t>
  </si>
  <si>
    <t>Total Estimado Mensal com BDI</t>
  </si>
  <si>
    <t>DETALHAMENTO DO CUSTO MENSAL COM DESPESAS DE VIAGENS</t>
  </si>
  <si>
    <t>Quantidade Edstimada</t>
  </si>
  <si>
    <r>
      <t xml:space="preserve">BDI = </t>
    </r>
    <r>
      <rPr>
        <b/>
        <u/>
        <sz val="11"/>
        <color theme="1"/>
        <rFont val="Times New Roman"/>
        <family val="1"/>
      </rPr>
      <t xml:space="preserve">   (1+(AC+R+S+G)(1+df)(1+L)  </t>
    </r>
    <r>
      <rPr>
        <b/>
        <sz val="11"/>
        <color theme="1"/>
        <rFont val="Times New Roman"/>
        <family val="1"/>
      </rPr>
      <t>-1
       (1-T)</t>
    </r>
  </si>
  <si>
    <t>DETALHAMENTO DOS CUSTOS COM SERVIÇOS EVENTUAIS</t>
  </si>
  <si>
    <t>BONIFICAÇÃO E DESPESAS INDIRETAS - BDI</t>
  </si>
  <si>
    <t>Descrição</t>
  </si>
  <si>
    <t>Instalação de calha em chapa de aço galvanizada n24, desenvolvimento de 100cm, incluso tranporte vertical AF_07/2019</t>
  </si>
  <si>
    <t>Impermeabilização de superfície com manta asfáltica colada com asfalto derretido, uma camada, e=4mm. Af_09/2023</t>
  </si>
  <si>
    <t>Fabricação e instalação de mobiliários em MDF sob medida, revestido em laminado melamínico, com portas, gavetas e prateleiras</t>
  </si>
  <si>
    <t>Confecção de portão em tubo de ferro galvanizado com quadro de DN 2", e barras verticais de DN 1 1/2" a cada 10cm</t>
  </si>
  <si>
    <t>Confecção de gradil em ferro fixado em vãos de janelas, formado por barras chatas ou redondas. Af_04/2019</t>
  </si>
  <si>
    <t>Confecção de gGradil H = 1.90m padrão SEDU em tudo de FG 2" e barra chata de 11/2"x1/4", para fixação sobre mureta conforme projeto, exclusive a mureta.</t>
  </si>
  <si>
    <t xml:space="preserve">Fornecimento e instalação de placa em base acrilico/pvc transparente adesivada de comunicação visual </t>
  </si>
  <si>
    <t>Instalação de câmera fixa para CFTV por Técnico especializado</t>
  </si>
  <si>
    <t>Remoção de entulho separado de obra com caçamba metálica - terra, alvenaria, concreto, argamassa, madeira, papel, plástico ou metal</t>
  </si>
  <si>
    <t>Fornecimento e instalação de chapas de policarbonato, e=8mm em toldo/cobertura/fechamento/etc - Rev 01</t>
  </si>
  <si>
    <t>Fornecimento e montagem de tela de sombreamento, em polietiileno de alta densidade (ao menos 190gr/m2), para cobertura de estacionamento</t>
  </si>
  <si>
    <t>BDI Adotado</t>
  </si>
  <si>
    <t>Fornecimento e instalação de cerca/gradil padrão Nylofor h=2,03m, malha 5x20cm - fio 5 mm, revestidos em poliester por processo de pintura eletrostática. Inclusive poste e acessórios.</t>
  </si>
  <si>
    <t>Fornecimento e instalação de Pele de vidro ( Painel fixo)</t>
  </si>
  <si>
    <t>Fornecimento e instalação porta pivotante de vidro temperado, 90x210 cm, espessura 10 mm, inclusive acessórios. Af_01/2021</t>
  </si>
  <si>
    <t>Instalação de vidro temperado, e = 10 mm, encaixado em perfil u. Af_01/2021_ps</t>
  </si>
  <si>
    <t>Instalação de vidro temperado, e = 6 mm, encaixado em perfil u. Af_01/2021_ps</t>
  </si>
  <si>
    <t>Instalação de vidro temperado, e = 8 mm, encaixado em perfil u. Af_01/2021_ps</t>
  </si>
  <si>
    <t>AC = Taxa representativa das despesas de rateio da Administração Central
R = Taxa representativa de Riscos
S = Taxa representativa de Seguros
G = Taxa representativa de Garantias
DF = Taxa representativa de Despesas Financeiras
L = Taxa representativa do Lucro/Remuneração
T = Taxa representativa da Incidência de Tributos</t>
  </si>
  <si>
    <t>Piso em granilite, marmorite ou granitina em ambientes internos, com espessura de 8 mm, incluso mistura em betoneira, colocação das juntas, aplicação do piso, 4 polimentos com politriz, estucamento, selador e cera.
AF_06/2022</t>
  </si>
  <si>
    <t>Execução de pavimento em piso intertravado, com bloco retangular cor natural de 20 x 10 cm, espessura 8 cm. Af_10/2022</t>
  </si>
  <si>
    <t>Revestimento em placa de alumínio composto "ACM", espessura de 4 mm e acabamento em
PVDF</t>
  </si>
  <si>
    <t>Revestimento em placa de alumínio composto "ACM", espessura de 3 mm e acabamento em poliéster - uso interno</t>
  </si>
  <si>
    <t>Instalação de piso vinílico semi-flexível em placas, espessura 3,2 mm, fixado com cola. Af_09/2020</t>
  </si>
  <si>
    <t>Instalação de rodapé em poliestireno, altura 5 cm. Af_09/2020</t>
  </si>
  <si>
    <t>Instalação de bancada em granito são gabriel, e=2cm</t>
  </si>
  <si>
    <t>Instalação de bancada em granito cinza andorinha, e=2cm</t>
  </si>
  <si>
    <t>Instalação de espelho cristal, espessura 4 mm, sem moldura, aderido com adesivo fixa-espelho. Af_01/2021</t>
  </si>
  <si>
    <t>Aplicação de película de proteção solar (fumê) Insulfilm ou Similar</t>
  </si>
  <si>
    <t>Plantio de grama esmeralda ou são carlos ou curitibana, em placas. Af_07/2024</t>
  </si>
  <si>
    <t>Instalação CONCERTINA CLIPADA MODELO ESPIRAL HELICOIDAL DUPLA D = 450 MM</t>
  </si>
  <si>
    <t>Laudo de Vistoria e ART com execução de teste de estanqueidade de gás com emissão de laudo técnico, exclusive deslocamento de equipe técnica - Rev 01</t>
  </si>
  <si>
    <t>Servicos de elaboracao de vistorias, laudos tecnicos, anteprojetos de intervencoes localizadas, quantitativos e relatorio fotografico para execucao de recuperacao em predios publicos, com area de projecao horizontal de ate 1000m2 ou para primeiros 1000m2 de areas superiores.</t>
  </si>
  <si>
    <t>Servicos de elaboracao de vistorias, laudos tecnicos, anteprojetos de intervencoes localizadas, quantitativos e relatorio fotografico para execucao de recuperacao estrutural de obras-de-arte especiais, com areas de projecao horizontal entre 1000m2 e 2000m2. Custo por m2 de area de vistoria acima de 1000m2. Para os primeiros 1000m2 considerar o item pertinente.</t>
  </si>
  <si>
    <t>Análise microbiologica do ar interior de ambiente climatizado, inclusive coleta de amostra e laudo fisico-quimico e microbiologico, conforme Resolucão RE 09 ANVISA.</t>
  </si>
  <si>
    <t>Recarga e manutenção de extintor de gás carbônico</t>
  </si>
  <si>
    <t>Recarga e manutenção de extintor de pó químico seco</t>
  </si>
  <si>
    <t>Recarga e manutenção de extintor de água pressurizada</t>
  </si>
  <si>
    <t>Poda em altura de árvore com diâmetro de tronco maior ou igual a 0,20 m e menor que 0,40 m. Af_03/2024</t>
  </si>
  <si>
    <t>Poda em altura de árvore com diâmetro de tronco maior ou igual a 0,40 m e menor que 0,60 m. Af_03/2024</t>
  </si>
  <si>
    <t>Poda em altura de árvore com diâmetro de tronco maior ou igual a 0,60 m. Af_03/2024</t>
  </si>
  <si>
    <t>Recuperação/manuteção de persianas, exclusive fornecimento de materiais</t>
  </si>
  <si>
    <t>Periodicidade</t>
  </si>
  <si>
    <t>Manutenção corretiva especializada de GRUPO GERADOR</t>
  </si>
  <si>
    <t>Anual</t>
  </si>
  <si>
    <t>Manutenção corretiva especializada do SISTEMA DE DETECÇÃO E ALARME DE INCÊNDIO</t>
  </si>
  <si>
    <t>Manutenção corretiva e medições em TRANSFORMADORES</t>
  </si>
  <si>
    <t>Manutenção corretiva especializada de NOBREAKs</t>
  </si>
  <si>
    <t>Serviço especializado para realização de teste de estanqueidade em chuveiros automáticos (SPRINKLERS), incluindo Laudo e ART</t>
  </si>
  <si>
    <t xml:space="preserve">Manutenção corretiva em peças e/ou equipamentos utilizando serviço especializado de usinagem e/ou torno mecânico </t>
  </si>
  <si>
    <t>Serviço especializado de realização de teste hidrostático/pneumático em mangueiras de incêndio</t>
  </si>
  <si>
    <t xml:space="preserve">Manutenção corretiva especializada em MOTORES ELÉTRICOS EM GERAL (rebobinamento e/ou outros) </t>
  </si>
  <si>
    <t>DETALHAMENTO DO CUSTO COM SERVIÇOS ESPECIALIZADOS</t>
  </si>
  <si>
    <t>CATSER</t>
  </si>
  <si>
    <t>Ténico em Ar Condicionado</t>
  </si>
  <si>
    <t>Fornecimento, sob demanda, de materiais e peças</t>
  </si>
  <si>
    <t>Serviços eventuais de manutenção predial, sob demanda.</t>
  </si>
  <si>
    <t>Serviços especializados de manutenção predial, sob demanda.</t>
  </si>
  <si>
    <r>
      <t xml:space="preserve">Valor Total em 24 meses (R$) </t>
    </r>
    <r>
      <rPr>
        <b/>
        <i/>
        <sz val="11"/>
        <color theme="1"/>
        <rFont val="Times New Roman"/>
        <family val="1"/>
      </rPr>
      <t>Máximo aceitável</t>
    </r>
  </si>
  <si>
    <t>VALOR GLOBAL DO GRUPO</t>
  </si>
  <si>
    <t>CBO</t>
  </si>
  <si>
    <t>Jornada de Trabalho</t>
  </si>
  <si>
    <t>Quantidade de Postos</t>
  </si>
  <si>
    <t>Quantidade de Empregados por Posto</t>
  </si>
  <si>
    <t>Cargo</t>
  </si>
  <si>
    <t>MÃO DE OBRA COM DEDICAÇÃO EXCLUSIVA</t>
  </si>
  <si>
    <t>44 horas semanais</t>
  </si>
  <si>
    <t>12x36 horas semanais</t>
  </si>
  <si>
    <r>
      <t xml:space="preserve">Valor Mensal (R$) </t>
    </r>
    <r>
      <rPr>
        <b/>
        <i/>
        <sz val="11"/>
        <color theme="1"/>
        <rFont val="Times New Roman"/>
        <family val="1"/>
      </rPr>
      <t>Máximo aceitável</t>
    </r>
  </si>
  <si>
    <t>Deslocamentos para delegacias do interior</t>
  </si>
  <si>
    <t>MODELO DE PROPOSTA</t>
  </si>
  <si>
    <t>IDENTIFICAÇÃO</t>
  </si>
  <si>
    <t>CNPJ:</t>
  </si>
  <si>
    <t>UF:</t>
  </si>
  <si>
    <t>CEP:</t>
  </si>
  <si>
    <t>E-mail:</t>
  </si>
  <si>
    <t>Razão Social:</t>
  </si>
  <si>
    <t>Endereço:</t>
  </si>
  <si>
    <t>Telefone:</t>
  </si>
  <si>
    <t>Planilha Analítica de Custos e Formação de Preços</t>
  </si>
  <si>
    <t>NOTAS EXPLICATIVAS</t>
  </si>
  <si>
    <t>Memória de Cálculo</t>
  </si>
  <si>
    <t>Fundamento</t>
  </si>
  <si>
    <t>Salário Base (SB)</t>
  </si>
  <si>
    <t>Artigo 457 e 458 da CLT</t>
  </si>
  <si>
    <t>Artigo 193 da CLT</t>
  </si>
  <si>
    <t>Outros</t>
  </si>
  <si>
    <r>
      <t xml:space="preserve">O </t>
    </r>
    <r>
      <rPr>
        <b/>
        <sz val="11"/>
        <color theme="1"/>
        <rFont val="Times New Roman"/>
        <family val="1"/>
      </rPr>
      <t>módulo 1</t>
    </r>
    <r>
      <rPr>
        <sz val="11"/>
        <color theme="1"/>
        <rFont val="Times New Roman"/>
        <family val="1"/>
      </rPr>
      <t xml:space="preserve"> refere-se ao valor mensal devido ao empregado pela prestação dos serviços.</t>
    </r>
  </si>
  <si>
    <r>
      <rPr>
        <b/>
        <sz val="11"/>
        <color theme="1"/>
        <rFont val="Times New Roman"/>
        <family val="1"/>
      </rPr>
      <t>Salário Base:</t>
    </r>
    <r>
      <rPr>
        <sz val="11"/>
        <color theme="1"/>
        <rFont val="Times New Roman"/>
        <family val="1"/>
      </rPr>
      <t xml:space="preserve"> salário mensal definido em acordo, dissídio ou convenção coletiva de trabalho. A planilha de custos é baseada em empregados mensalistas, logo, consideram-se já remunerados os dias de repouso semanal no salário mensal nos termos do §2º, do art. 7º, da Lei 605/1949.</t>
    </r>
  </si>
  <si>
    <r>
      <rPr>
        <b/>
        <sz val="11"/>
        <color theme="1"/>
        <rFont val="Times New Roman"/>
        <family val="1"/>
      </rPr>
      <t>Adicional de Periculosidade:</t>
    </r>
    <r>
      <rPr>
        <sz val="11"/>
        <color theme="1"/>
        <rFont val="Times New Roman"/>
        <family val="1"/>
      </rPr>
      <t xml:space="preserve"> para os serviços prestados na SR/PF/ES, DPF/CIT/ES e DPF/SMT/ES devido à existência de Laudo de Periculosidade, salvo para os postos que percebem adicional de insalubridade.</t>
    </r>
  </si>
  <si>
    <t>((1/12) x 100) ≅ 8,33%</t>
  </si>
  <si>
    <t>Art. 7º, VIII, CF/88. Decreto n. 10.854/2021. Lei nº 4.090/1962. Lei nº 4.749/1965</t>
  </si>
  <si>
    <t>((1/3) x (1/12) x 100) ≅ 2,78%</t>
  </si>
  <si>
    <t>Art. 7º, XVII, CF/88.</t>
  </si>
  <si>
    <r>
      <rPr>
        <sz val="11"/>
        <color theme="1"/>
        <rFont val="Times New Roman"/>
        <family val="1"/>
      </rPr>
      <t xml:space="preserve">O </t>
    </r>
    <r>
      <rPr>
        <b/>
        <sz val="11"/>
        <color theme="1"/>
        <rFont val="Times New Roman"/>
        <family val="1"/>
      </rPr>
      <t xml:space="preserve">submódulo 2.1 </t>
    </r>
    <r>
      <rPr>
        <sz val="11"/>
        <color theme="1"/>
        <rFont val="Times New Roman"/>
        <family val="1"/>
      </rPr>
      <t>refere-se à provisão mensal de 1/12 (um doze avos) dos valores correspondentes à gratificação natalina e adicional de férias. As férias são aprovisionadas na substituição.</t>
    </r>
  </si>
  <si>
    <r>
      <rPr>
        <b/>
        <sz val="11"/>
        <color theme="1"/>
        <rFont val="Times New Roman"/>
        <family val="1"/>
      </rPr>
      <t>Adicional de Férias:</t>
    </r>
    <r>
      <rPr>
        <sz val="11"/>
        <color theme="1"/>
        <rFont val="Times New Roman"/>
        <family val="1"/>
      </rPr>
      <t xml:space="preserve"> corresponde a 1/3 (um terço) da remuneração que por sua vez é divido por 12 (doze).</t>
    </r>
  </si>
  <si>
    <t>INSS (0% no caso de opção pela CPRB)</t>
  </si>
  <si>
    <r>
      <t>Art. 22, Inciso I, da Lei nº 8.212/91.</t>
    </r>
    <r>
      <rPr>
        <b/>
        <sz val="11"/>
        <rFont val="Times New Roman"/>
        <family val="1"/>
      </rPr>
      <t xml:space="preserve"> (3) Lei 13.161/2015 - Contribuição Previdenciária sobre a Receita Bruta (CPRB)</t>
    </r>
  </si>
  <si>
    <t>Anexo II da IN RFB n. 2.110/22; art. 3°, inciso I do Decreto n° 87.043/1982; art. 15 – Lei nº 9.424/96; art. 1º § 1º - Decreto Nº 6.003/2006; art. 212 § 5º da Constituição Federal; Súmula Nº 732 do STF.</t>
  </si>
  <si>
    <t>SAT (GILL/RAT ou RAT Ajustado)</t>
  </si>
  <si>
    <t>%SAT = RAT (1% a 3%) x FAT (0,5 a 2,00)</t>
  </si>
  <si>
    <t>Anexo V do Regulamento da Previdência Social – RPS (Decreto n. 3.048/1999) e regras de enquadramento dispostas na Instrução Normativa RFB n. 2.110/2022 e/ou legislação superveniente. Súmula 351 do STJ.</t>
  </si>
  <si>
    <t>Anexo II da IN RFB n. 2.110/22; art. 30 da Lei n° 8.036/90; art. 1°da Lei n° 8.154/90; art. 240 da Constituição Federal.</t>
  </si>
  <si>
    <t>Anexo II da IN RFB n. 2.110/22; Decreto n.º 2.318/86</t>
  </si>
  <si>
    <t>Anexo II da IN RFB n. 2.110/22. Art. 8º, Lei n.º 8.029/90 e Lei n.º 8154/90</t>
  </si>
  <si>
    <t>Anexo II da IN RFB n. 2.110/22; Lei n.º 7.787/89; DL n.º 1.146/70; Lei Complementar nº 11/71.</t>
  </si>
  <si>
    <t>Art. 15, Lei nº 8.036/90 e Art. 7º, III,</t>
  </si>
  <si>
    <t>PIS sobre a Folha de Pagamento</t>
  </si>
  <si>
    <t>Art. 2º, I, "a", do Decreto 4.524/2002. Solução de Consulta COSIT/RFB n.  6.013/2017.</t>
  </si>
  <si>
    <r>
      <t xml:space="preserve">O </t>
    </r>
    <r>
      <rPr>
        <b/>
        <sz val="11"/>
        <color theme="1"/>
        <rFont val="Times New Roman"/>
        <family val="1"/>
      </rPr>
      <t>submódulo 2.2</t>
    </r>
    <r>
      <rPr>
        <sz val="11"/>
        <color theme="1"/>
        <rFont val="Times New Roman"/>
        <family val="1"/>
      </rPr>
      <t xml:space="preserve"> é calculado sobre os totais do Módulo 1  e submódulo 2.1, mantendo o padrão da IN SEGES/ME nº 05/2017.</t>
    </r>
  </si>
  <si>
    <r>
      <rPr>
        <b/>
        <sz val="11"/>
        <rFont val="Times New Roman"/>
        <family val="1"/>
      </rPr>
      <t>Contribuição Previdenciária sobre a Receita Bruta (CPRB):</t>
    </r>
    <r>
      <rPr>
        <sz val="11"/>
        <rFont val="Times New Roman"/>
        <family val="1"/>
      </rPr>
      <t xml:space="preserve"> Devido a aplicação da Lei 13.161/2015 (Desoneração da folha de pagamento), a contribuição previdenciária patronal (INSS) poderá não ser calculada no Submódulo 2.2, sendo substituída por alíquota diferenciada de acordo com a atividade, incidindo sobre o faturamento (compondo o módulo 6).</t>
    </r>
  </si>
  <si>
    <r>
      <rPr>
        <b/>
        <sz val="11"/>
        <rFont val="Times New Roman"/>
        <family val="1"/>
      </rPr>
      <t>GILL/RAT:</t>
    </r>
    <r>
      <rPr>
        <sz val="11"/>
        <rFont val="Times New Roman"/>
        <family val="1"/>
      </rPr>
      <t xml:space="preserve"> é a sigla correspondente à Contribuição do Grau de Incidência de Incapacidade Laborativa decorrente dos Riscos Ambientais do Trabalho (o antigo</t>
    </r>
    <r>
      <rPr>
        <b/>
        <sz val="11"/>
        <rFont val="Times New Roman"/>
        <family val="1"/>
      </rPr>
      <t xml:space="preserve"> Seguro de Acidente de Trabalho - SAT</t>
    </r>
    <r>
      <rPr>
        <sz val="11"/>
        <rFont val="Times New Roman"/>
        <family val="1"/>
      </rPr>
      <t xml:space="preserve">). A contribuição GILL/RAT é apurada por meio de um indicador criado pela Receita Federal: o </t>
    </r>
    <r>
      <rPr>
        <b/>
        <sz val="11"/>
        <rFont val="Times New Roman"/>
        <family val="1"/>
      </rPr>
      <t>RAT Ajustado</t>
    </r>
    <r>
      <rPr>
        <sz val="11"/>
        <rFont val="Times New Roman"/>
        <family val="1"/>
      </rPr>
      <t xml:space="preserve">. Sendo assim, em regra, considera-se para fins de definição da planilha modelo que </t>
    </r>
    <r>
      <rPr>
        <b/>
        <sz val="11"/>
        <rFont val="Times New Roman"/>
        <family val="1"/>
      </rPr>
      <t>GILL/RAT = SAT = RAT Ajustado</t>
    </r>
    <r>
      <rPr>
        <sz val="11"/>
        <rFont val="Times New Roman"/>
        <family val="1"/>
      </rPr>
      <t>. O cálculo do RAT ajustado é feito mediante aplicação da fórmula: RAT ajustado = RAT x FAP. A aplicação mínima ou máxima do FAP (0,5 a 2,00) sobre as alíquotas do RAT (1% a 3%) levará o percentual ajustado do RAT a uma variação entre 0,5% a 6%. A licitante deve preencher com o valor de seu RAT ajustado comprovando o percentual indicado no momento da apresentação da proposta na forma prescrita no edital e nestas notas explicativas.</t>
    </r>
  </si>
  <si>
    <r>
      <rPr>
        <b/>
        <sz val="11"/>
        <rFont val="Times New Roman"/>
        <family val="1"/>
      </rPr>
      <t>RAT</t>
    </r>
    <r>
      <rPr>
        <sz val="11"/>
        <rFont val="Times New Roman"/>
        <family val="1"/>
      </rPr>
      <t xml:space="preserve"> </t>
    </r>
    <r>
      <rPr>
        <b/>
        <sz val="11"/>
        <rFont val="Times New Roman"/>
        <family val="1"/>
      </rPr>
      <t xml:space="preserve">(Riscos Ambientais do Trabalho): </t>
    </r>
    <r>
      <rPr>
        <sz val="11"/>
        <rFont val="Times New Roman"/>
        <family val="1"/>
      </rPr>
      <t>contém as alíquotas de 1%, 2% ou 3%, apurada com base na atividade preponderante da empresa (CNAE), deverá ser esclarecida e comprovada quando solicitado pelo pregoeiro, conforme Anexo V do Regulamento da Previdência Social – RPS (Decreto n. 3.048/1999) e regras de  enquadramento dispostas na Instrução Normativa RFB n. 2.110/2022 e/ou legislação superveniente.</t>
    </r>
  </si>
  <si>
    <r>
      <rPr>
        <b/>
        <sz val="11"/>
        <rFont val="Times New Roman"/>
        <family val="1"/>
      </rPr>
      <t xml:space="preserve"> FAP (Fator Acidentário de Prevenção): </t>
    </r>
    <r>
      <rPr>
        <sz val="11"/>
        <rFont val="Times New Roman"/>
        <family val="1"/>
      </rPr>
      <t>multiplicador variável num intervalo de 0,5 a 2,00 calculado anualmente pelo INSS considerando o número de acidentes do trabalho e doenças profissionais de cada empresa (Decreto nº 6.957/2009). Essa alíquota deverá ser comprovada mediante a apresentação do multiplicador FAP (FapWeb) vigente no momento da contratação, cujo valor é obtido no site da previdência social por meio de acesso individual da proponente.</t>
    </r>
  </si>
  <si>
    <r>
      <rPr>
        <b/>
        <sz val="11"/>
        <rFont val="Times New Roman"/>
        <family val="1"/>
      </rPr>
      <t>Entidade sem fins lucrativos:</t>
    </r>
    <r>
      <rPr>
        <sz val="11"/>
        <rFont val="Times New Roman"/>
        <family val="1"/>
      </rPr>
      <t xml:space="preserve"> Para essas organizações, não há recolhimento de PIS e COFINS sobre as receitas referentes às atividades próprias. No que diz respeito ao PIS há recolhimento de 1% sobre a folha de salários, devendo esta alíquota ser incluída no Submódulo 2.2. Em relação à Cofins, caso a entidade auferir outras receitas que não seja resultado da atividade própria sobre este valor terá de calcular 7,6%. Esta receita deve ser tributada com base no sistema não cumulativo da contribuição (Lei nº 10.833/2003). Assim, uma associação sem Fins Lucrativos terá de apurar:
a) 1% - a título de PIS-Sobre folha; e
b) 7,6% de Cofins não cumulativo, sobre as receitas não derivadas de atividades próprias da associação. Isto porque as atividades próprias gozam de isenção.
No caso de entidade que goza de imunidade, a mesma deverá possuir a certificação das entidades beneficentes de assistência social (CEBAS), nos termos da Lei n. 12.101, de 27 de novembro de 2009. A referida certificação será necessária para comprovar a imunidade de diversos tributos, tais como PIS, COFINS, INSS, GILL/RAT, Terceiras Entidades.</t>
    </r>
  </si>
  <si>
    <t>Submódulo 2.3 - Benefícios Mensais e Diários</t>
  </si>
  <si>
    <t xml:space="preserve">Artigo 4º, § único, da Lei nº 7.418/85 e art. 9º do Decreto nº  10854/2021. </t>
  </si>
  <si>
    <t>Artigo 458, §§ 2º e 3º, da CLT, Lei nº 6.321/76, Decreto nº 5/91 e CCT.</t>
  </si>
  <si>
    <t>Assistência Odontológica</t>
  </si>
  <si>
    <t>Benefício Social e Amparo a Família (IDESBRE)</t>
  </si>
  <si>
    <t>Gratificação de Aposentadoria</t>
  </si>
  <si>
    <r>
      <t xml:space="preserve">No </t>
    </r>
    <r>
      <rPr>
        <b/>
        <sz val="11"/>
        <color theme="1"/>
        <rFont val="Times New Roman"/>
        <family val="1"/>
      </rPr>
      <t xml:space="preserve">submódulo 2.3, </t>
    </r>
    <r>
      <rPr>
        <sz val="11"/>
        <color theme="1"/>
        <rFont val="Times New Roman"/>
        <family val="1"/>
      </rPr>
      <t xml:space="preserve"> o valor informado deverá ser o custo real do benefício (descontado o valor eventualmente pago pelo empregado).</t>
    </r>
  </si>
  <si>
    <r>
      <t xml:space="preserve">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 É vedado ao órgão e entidade vincular-se às disposições previstas nos Acordos, Convenções ou Dissídios Coletivos de Trabalho que tratem de obrigações e direitos que somente se aplicam aos contratos com a Administração Pública. (art. 6º, </t>
    </r>
    <r>
      <rPr>
        <i/>
        <sz val="11"/>
        <rFont val="Times New Roman"/>
        <family val="1"/>
      </rPr>
      <t>caput</t>
    </r>
    <r>
      <rPr>
        <sz val="11"/>
        <rFont val="Times New Roman"/>
        <family val="1"/>
      </rPr>
      <t>, e p.único, da IN SEGES/ME 05/2017)</t>
    </r>
  </si>
  <si>
    <r>
      <rPr>
        <b/>
        <sz val="11"/>
        <rFont val="Times New Roman"/>
        <family val="1"/>
      </rPr>
      <t xml:space="preserve">Auxílio Creche: </t>
    </r>
    <r>
      <rPr>
        <sz val="11"/>
        <rFont val="Times New Roman"/>
        <family val="1"/>
      </rPr>
      <t xml:space="preserve">estimativa de 0,02607 empregadas afastadas no Espírito Santo em 2021. Para licença maternidade foram previstos seis meses de afastamento, assim, serão provisionados 4 meses para recebimento do auxílio creche, uma vez que é pago apenas até o 10º mês.  </t>
    </r>
  </si>
  <si>
    <t>[0,05 x (1/12) x 100] ≅ 0,42%</t>
  </si>
  <si>
    <t>Art. 7º, XXI, CF/88. Art. 477, 487 e 491 da CLT. Lei n. 12.506/2011.</t>
  </si>
  <si>
    <t>[(0,08 x 0,0042) x 100] ≅ 0,03%</t>
  </si>
  <si>
    <t>Súmula 305 TST.</t>
  </si>
  <si>
    <t>Multa do FGTS e contribuição social sobre o Aviso Prévio Indenizado</t>
  </si>
  <si>
    <t>0,08 x 0,4 x 0,9 x [1 + 1/12 + 1/12 + (1/3 x 1/12)] ≅ 3,44%</t>
  </si>
  <si>
    <t>Art. 18 da Lei 8.036/90. Art. 12 da Lei 13.932/2019. Art. 5º, inciso III, da IN STJG/GDG n. 14/2020.</t>
  </si>
  <si>
    <t>{[(7/30) + (7/30 x 0,1)] / 24}  x 100) ≅  1,07%</t>
  </si>
  <si>
    <t xml:space="preserve">Art. 7º, XXI, CF/88, 477,487 e 491 CLT. Acórdãos n. 1904/2007-TCU-Plenário e n. 3006/2010-TCU-Plenário </t>
  </si>
  <si>
    <t>D.1</t>
  </si>
  <si>
    <t>Aviso Prévio Trabalhado após 24 meses de vigência (prorrogação)</t>
  </si>
  <si>
    <t>{[(7/30) x 0,1] /12  ≅ 0,194%</t>
  </si>
  <si>
    <t>Lei 12.506/2011. Acórdão n. 1186/2017-TCU-Plenário</t>
  </si>
  <si>
    <t>((0,3680 x 0,0107) x 100) ≅  0,39%</t>
  </si>
  <si>
    <t xml:space="preserve">Acórdãos n. 1904/2007-TCU-Plenário e n. 3006/2010-TCU-Plenário </t>
  </si>
  <si>
    <t>E.1</t>
  </si>
  <si>
    <t>Incidência de GPS, FGTS e outras contribuições sobre o Aviso Prévio Trabalhado após 24 meses de vigência (prorrogação)</t>
  </si>
  <si>
    <t>((0,3680 x 0,00194) x 100) ≅  0,07%</t>
  </si>
  <si>
    <t>((0,0107 x 0,08) x 0,4 x 100) ≅  0,034%</t>
  </si>
  <si>
    <t xml:space="preserve">Art. 12 da Lei 13.932/2019. Acórdãos n. 1904/2007-TCU-Plenário e n. 3006/2010-TCU-Plenário </t>
  </si>
  <si>
    <t>F.1</t>
  </si>
  <si>
    <t>Multa do FGTS sobre o Aviso Prévio Trabalhado após 24 meses de vigência (prorrogação)</t>
  </si>
  <si>
    <t>((0,00194 x 0,08) x 0,4 x 100) ≅  0,006%</t>
  </si>
  <si>
    <r>
      <rPr>
        <b/>
        <sz val="11"/>
        <rFont val="Times New Roman"/>
        <family val="1"/>
      </rPr>
      <t>Aviso Prévio Indenizado</t>
    </r>
    <r>
      <rPr>
        <sz val="11"/>
        <rFont val="Times New Roman"/>
        <family val="1"/>
      </rPr>
      <t>: de acordo com levantamento efetuado em diversos contratos, cerca de 5% do pessoal é demitido pelo empregador, antes do término do contrato de trabalho.</t>
    </r>
  </si>
  <si>
    <r>
      <rPr>
        <b/>
        <sz val="11"/>
        <rFont val="Times New Roman"/>
        <family val="1"/>
      </rPr>
      <t xml:space="preserve">Multa do FGTS sobre o Aviso Prévio Indenizado: </t>
    </r>
    <r>
      <rPr>
        <sz val="11"/>
        <rFont val="Times New Roman"/>
        <family val="1"/>
      </rPr>
      <t>rescisão sem justa causa: considera-se que 10% dos empregados pedem contas, portanto, essa penalidade recai sobre os 90% remanescentes. Logo o pagamento da multa para os valores depositados relativos a salários, férias e 13º salário recai sobre 90%.</t>
    </r>
  </si>
  <si>
    <r>
      <rPr>
        <b/>
        <sz val="11"/>
        <rFont val="Times New Roman"/>
        <family val="1"/>
      </rPr>
      <t>Aviso Prévio Trabalhado:</t>
    </r>
    <r>
      <rPr>
        <sz val="11"/>
        <rFont val="Times New Roman"/>
        <family val="1"/>
      </rPr>
      <t xml:space="preserve"> redução de 7 dias ou de 2h por dia. Após o primeiro ano, o percentual corresponderá ao acréscimo de 3 dias de aviso prévio ou 0,7 dias de ausências por ano de serviço prestado até o máximo de 60 dias. Ou seja, um décimo do valor máximo admitido pelo Acórdão 3006/2010-TCU-Plenário. </t>
    </r>
  </si>
  <si>
    <r>
      <rPr>
        <b/>
        <sz val="11"/>
        <rFont val="Times New Roman"/>
        <family val="1"/>
      </rPr>
      <t>Multa do FGTS do aviso prévio trabalhado</t>
    </r>
    <r>
      <rPr>
        <sz val="11"/>
        <rFont val="Times New Roman"/>
        <family val="1"/>
      </rPr>
      <t>: o custo do aviso prévio trabalhado é acrescido da multa do FGTS (40%) que incide sobre a alíquota do FGTS (8%) aplicada sobre o custo de referência para o aviso trabalhado.</t>
    </r>
  </si>
  <si>
    <t>O art. 12 da Lei n. 13.932/2019 extiguiu a cobraça da contribuição de 10% devida pelos empregadores em caso de despedida sem justa causa (art. 1º da Lei Complementar 110/2001). Sendo assim, o adicional que era previsto nos itens "C" e "F" com o título "Multa do FGTS e contribuição social sobre Aviso Prévio [...]" passou a ser denominado somente de "Multa do FGTS sobre Aviso Prévio [..]"</t>
  </si>
  <si>
    <t xml:space="preserve">Os valores das rubricas D, E e F, por ser custos não renováveis, serão reduzidos a partir da primeira prorrogação de vigência do contrato conforme itens D.1, E.1 e F.1 da memória de cálculo nos termos do Acórdão 1.186/2017 - TCU-Plenário. </t>
  </si>
  <si>
    <t>(1/12) x 100 ≅ 8,33%</t>
  </si>
  <si>
    <t>Art. 129 e 130 CLT.</t>
  </si>
  <si>
    <t>(1/30) /12 x 100 ≅ 0,28%</t>
  </si>
  <si>
    <t>Art. 82 e 473 da CLT</t>
  </si>
  <si>
    <t>[(5/30) /12] x 0,015 x 100 ≅ 0,02%</t>
  </si>
  <si>
    <t>Art. 7º, inciso XIX da CF. §1º do artigo 10 do ADCT. Lei n. 13.527/2016</t>
  </si>
  <si>
    <t>[(30/30) /12] x 0,0078 x 100 ≅ 0,07%</t>
  </si>
  <si>
    <t>Art. 27 do Dec. 89312/84, Art. 131 da CLT e MP. 664/2014</t>
  </si>
  <si>
    <t xml:space="preserve"> [(1/12) + (1/3 x 1/12)] x 0,02607 x 6/12 ≅ 0,14%</t>
  </si>
  <si>
    <t>Art. 7º inc. XVIII, CF, Lei 8.213/91, art. 72 e Lei 11770/2008. Lei n. 13.527/2016.</t>
  </si>
  <si>
    <t>[(5/30) /12] x 100 ≅ 1,39%</t>
  </si>
  <si>
    <t>Art.131 , inciso III, da CLT. Art. 476 da CLT, art. 6º, §1º, alínea "f", da Lei n. 605, de 1949, e  art. 12, alínea "f", do Decreto n. 27.048, de 1949.</t>
  </si>
  <si>
    <r>
      <t xml:space="preserve">O </t>
    </r>
    <r>
      <rPr>
        <b/>
        <sz val="11"/>
        <color theme="1"/>
        <rFont val="Times New Roman"/>
        <family val="1"/>
      </rPr>
      <t>submódulo 4.1</t>
    </r>
    <r>
      <rPr>
        <sz val="11"/>
        <color theme="1"/>
        <rFont val="Times New Roman"/>
        <family val="1"/>
      </rPr>
      <t xml:space="preserve"> refere-se ao custo que será pago ao repositor pelos dias trabalhados quando da necessidade de substituir a mão de obra alocada na prestação do serviço.</t>
    </r>
  </si>
  <si>
    <t>Haverá substituição do empregado em férias. Por isso, para que o posto não fique descoberto a empresa deverá repor o profissional ausente por meio de profissional subtituto ao qual deverá retribuir com a mesma remuneração do titular. No último período de vigência contratual, essa rubrica supre a necessidade do pagamento das férias remuneradas do titular em vez de suportar a cobertura de férias.</t>
  </si>
  <si>
    <r>
      <rPr>
        <b/>
        <sz val="11"/>
        <color theme="1"/>
        <rFont val="Times New Roman"/>
        <family val="1"/>
      </rPr>
      <t>Ausências legais:</t>
    </r>
    <r>
      <rPr>
        <sz val="11"/>
        <color theme="1"/>
        <rFont val="Times New Roman"/>
        <family val="1"/>
      </rPr>
      <t xml:space="preserve"> estimativa de 1 (uma) licença por ano.</t>
    </r>
  </si>
  <si>
    <r>
      <rPr>
        <b/>
        <sz val="11"/>
        <color theme="1"/>
        <rFont val="Times New Roman"/>
        <family val="1"/>
      </rPr>
      <t>Licença-Paternidade:</t>
    </r>
    <r>
      <rPr>
        <sz val="11"/>
        <color theme="1"/>
        <rFont val="Times New Roman"/>
        <family val="1"/>
      </rPr>
      <t xml:space="preserve"> estimativa de 1,5% (um inteiro e cinco décimos por cento) dos empregados usufruindo 5 (cinco) dias da licença por ano.</t>
    </r>
  </si>
  <si>
    <r>
      <rPr>
        <b/>
        <sz val="11"/>
        <color theme="1"/>
        <rFont val="Times New Roman"/>
        <family val="1"/>
      </rPr>
      <t>Ausência por acidente de trabalho:</t>
    </r>
    <r>
      <rPr>
        <sz val="11"/>
        <color theme="1"/>
        <rFont val="Times New Roman"/>
        <family val="1"/>
      </rPr>
      <t xml:space="preserve"> estimativa de 1 (uma) licença de 30 (trinta) dias por ano para 0,78% (setenta e oito décimos por cento) dos empregados</t>
    </r>
  </si>
  <si>
    <r>
      <rPr>
        <b/>
        <sz val="11"/>
        <color theme="1"/>
        <rFont val="Times New Roman"/>
        <family val="1"/>
      </rPr>
      <t>Afastamento maternidade:</t>
    </r>
    <r>
      <rPr>
        <sz val="11"/>
        <color theme="1"/>
        <rFont val="Times New Roman"/>
        <family val="1"/>
      </rPr>
      <t xml:space="preserve"> estimativa de 0,02607 empregadas afastadas no Espírito Santo. No cálculo da estimativa foram adotados os dados obtidos no Anuário Estatístico da Previdência Social de 2021 e realizado o seguinte cálculo: 24.562/408.263 x 408263/941986 = 0,02607. Onde: 24.562 = nº de licenças maternidade concedidas no ES; 408.263 = nº de mulheres no mercado de trabalho no ES; 941.986 = nº total de trabalhadores no ES.</t>
    </r>
  </si>
  <si>
    <r>
      <t xml:space="preserve">Ausência por doença: </t>
    </r>
    <r>
      <rPr>
        <sz val="11"/>
        <color theme="1"/>
        <rFont val="Times New Roman"/>
        <family val="1"/>
      </rPr>
      <t>estimativa de 5 (cinco) dias de licenças por ano.</t>
    </r>
  </si>
  <si>
    <r>
      <t>Do proporcional de férias, 1/3 e 13º sobre custo de reposição foi excluído o afastamento maternidade</t>
    </r>
    <r>
      <rPr>
        <sz val="11"/>
        <color theme="1"/>
        <rFont val="Times New Roman"/>
        <family val="1"/>
      </rPr>
      <t>, primeiro porque o salário maternidade e a parcela do 13º salário durante o período da licença são custeados pelo INSS, e segundo porque as férias e o respectivo 1/3, já estão inclusos no próprio cálculo percentual dessa ausência.</t>
    </r>
  </si>
  <si>
    <t>Não haverá necessidade de reposição de um empregado durante sua ausência nos casos de intervalo para repouso ou alimentação</t>
  </si>
  <si>
    <t>Módulo 5 - Insumos diversos</t>
  </si>
  <si>
    <t>Uniforme</t>
  </si>
  <si>
    <t>Equipamentos</t>
  </si>
  <si>
    <t>Macrofunção 02.03.30 do SIAFI</t>
  </si>
  <si>
    <r>
      <t xml:space="preserve">No </t>
    </r>
    <r>
      <rPr>
        <b/>
        <sz val="11"/>
        <color theme="1"/>
        <rFont val="Times New Roman"/>
        <family val="1"/>
      </rPr>
      <t>módulo 5</t>
    </r>
    <r>
      <rPr>
        <sz val="11"/>
        <color theme="1"/>
        <rFont val="Times New Roman"/>
        <family val="1"/>
      </rPr>
      <t>, ocorre o rateio dos valores pela quantidade de empregados previstos.</t>
    </r>
  </si>
  <si>
    <r>
      <rPr>
        <b/>
        <sz val="11"/>
        <color theme="1"/>
        <rFont val="Times New Roman"/>
        <family val="1"/>
      </rPr>
      <t>Equipamento</t>
    </r>
    <r>
      <rPr>
        <sz val="11"/>
        <color theme="1"/>
        <rFont val="Times New Roman"/>
        <family val="1"/>
      </rPr>
      <t>: o custo será da depreciação, uma vez que ao final da vigência do contrato, verterá ao patrimônio da empresa. Foi adotado o método de depreciação, utilizando-se a  Macrofunção 02.03.30 do SIAFI para se obter estimativas de vida útil e do valor residual dos bens depreciáveis.</t>
    </r>
  </si>
  <si>
    <t xml:space="preserve"> Base de Cálculo = M1+M2+M3+M4+M5</t>
  </si>
  <si>
    <t xml:space="preserve"> Base de Cálculo = M1+M2+M3+M4+M5+Custos Indiretos</t>
  </si>
  <si>
    <t>Base de Cálculo =  M1+M2+M3+M4+M5+Custos Indiretos+Lucro/ (1- (Somatório da % de tributos))</t>
  </si>
  <si>
    <t>Tributos Federais (COFINS - Regime Não-Cumulativo)</t>
  </si>
  <si>
    <t>Tributos Federais (PIS - Regime Não Cumulativo)</t>
  </si>
  <si>
    <t>Os Custos Indiretos, Tributos e Lucro é por empregado.</t>
  </si>
  <si>
    <t>O valor referente a tributos é obtido aplicando-se o percentual sobre o valor do faturamento.</t>
  </si>
  <si>
    <r>
      <rPr>
        <sz val="11"/>
        <rFont val="Times New Roman"/>
        <family val="1"/>
      </rPr>
      <t>É vedada a inclusão de tributos diretos (tais como IRPJ e a CSLL), porquanto estreitamente vinculados ao resultado final líquido da empresa, não guardando relação específica com a contratação.</t>
    </r>
    <r>
      <rPr>
        <b/>
        <sz val="11"/>
        <rFont val="Times New Roman"/>
        <family val="1"/>
      </rPr>
      <t xml:space="preserve"> (Súmula nº 254 - TCU)</t>
    </r>
  </si>
  <si>
    <t>A licitante deve elaborar sua proposta e, por conseguinte, sua planilha com base no regime de tributação ao qual estará submetida durante a execução do contrato conforme Acórdão TCU-Plenário n. 2.647/2009.</t>
  </si>
  <si>
    <t>Como comprovante, a licitante deverá apresentar declaração pública de que os percentuais do PIS e do COFINS cotados correspondem à média dos recolhimentos dos últimos doze meses, apurada com base nos dados da Escrituração Fiscal Digital da Contribuição para o PIS/PASEP e para a COFINS (EFD-Contribuições), cujos respectivos registros deverão ser remetidos juntamente com a proposta e as planilhas. Caso a licitante tenha recolhido tributos pelo regime de incidência não-cumulativa em apenas alguns meses do período que deve ser considerado para o cálculo do percentual médio efetivo (12 meses anteriores à data da proposta), poderá apresentar o cálculo considerando apenas os meses em que houve recolhimento.</t>
  </si>
  <si>
    <t>Devido a aplicação da Lei 13.161/2015 (Desoneração da folha de pagamento), a contribuição previdenciária patronal (INSS) poderá não ser calculada no Submódulo 2.2, sendo substituída pela contribuição previdenciária sobre a receita bruta (CPRB) por meio de alíquota diferenciada de acordo com a atividade, incidindo sobre o faturamento (compondo o módulo 5).</t>
  </si>
  <si>
    <r>
      <rPr>
        <b/>
        <sz val="11"/>
        <rFont val="Times New Roman"/>
        <family val="1"/>
      </rPr>
      <t>Entidades sem fins lucrativos:</t>
    </r>
    <r>
      <rPr>
        <sz val="11"/>
        <rFont val="Times New Roman"/>
        <family val="1"/>
      </rPr>
      <t xml:space="preserve"> proceder ao ajuste na nomenclarura de "lucro" para "superávit" conforme orientações presentes no item 10, 11, 15, 23 da Norma Brasileira de Contabilidade ITG 2002 e Capítulo 5.7.2 do Manual de Preenchimento do Modelo de Planilhas de Custos e de Formação de Preços do STJ.</t>
    </r>
  </si>
  <si>
    <t>Gratificação de Função (Gerente)</t>
  </si>
  <si>
    <t>Artigo 62, da CLT</t>
  </si>
  <si>
    <r>
      <t xml:space="preserve">Gratificação de Função (Gerente): </t>
    </r>
    <r>
      <rPr>
        <sz val="11"/>
        <color theme="1"/>
        <rFont val="Times New Roman"/>
        <family val="1"/>
      </rPr>
      <t>para um dos técnicos deverá ser prevista a gratificação de função de gerente no percentual de 40%. Para este modelo foi previsto o percentual de gratificação sobre o salário-base do Eletrotécnico.</t>
    </r>
  </si>
  <si>
    <r>
      <rPr>
        <b/>
        <sz val="11"/>
        <rFont val="Times New Roman"/>
        <family val="1"/>
      </rPr>
      <t xml:space="preserve">Transporte: </t>
    </r>
    <r>
      <rPr>
        <sz val="11"/>
        <rFont val="Times New Roman"/>
        <family val="1"/>
      </rPr>
      <t>a tarifa atual do transporte coletivo na Região Metropolitana da Grande Vitória é R$ 4,90 (quatro reais e noventa centavos) de segunda a sábado.</t>
    </r>
  </si>
  <si>
    <r>
      <rPr>
        <b/>
        <sz val="11"/>
        <rFont val="Times New Roman"/>
        <family val="1"/>
      </rPr>
      <t>Plano de Assistência Médica:</t>
    </r>
    <r>
      <rPr>
        <sz val="11"/>
        <rFont val="Times New Roman"/>
        <family val="1"/>
      </rPr>
      <t xml:space="preserve"> de acordo com dados da pesquisa publicada pelo Instituto Jones dos Santos Neves, intitulado Mercado de Trabalho no Espírito Santo – 1º trimestre de 2023, disponível no endereço https://ijsn.es.gov.br/Media/IJSN/PublicacoesAnexos/boletins/Boletim_Mcd_Trabalho_1T2023.pdf, cerca de 53,7% da força de trabalho é composta por trabalhadores com até 39 anos e 46,3% com 40 anos ou mais.</t>
    </r>
  </si>
  <si>
    <r>
      <rPr>
        <b/>
        <sz val="11"/>
        <color theme="1"/>
        <rFont val="Times New Roman"/>
        <family val="1"/>
      </rPr>
      <t xml:space="preserve">Uniforme: </t>
    </r>
    <r>
      <rPr>
        <sz val="11"/>
        <color theme="1"/>
        <rFont val="Times New Roman"/>
        <family val="1"/>
      </rPr>
      <t>foi cotado o conjunto do uniforme que deverá ser entregue conforme a durabilidade de cada item para cada empregado.</t>
    </r>
  </si>
  <si>
    <t>1. Este modelo de Planilha Analítica de Custos e Formação de Preços está pré-preenchida com os valores máximos aceitáveis da contratação</t>
  </si>
  <si>
    <t>2. Apenas as células preenchidas de azul-claro são passíveis de alteração, as demais foram bloqueadas.</t>
  </si>
  <si>
    <t>ORIENTAÇÕES</t>
  </si>
  <si>
    <t>90003/2025 - SR/PF/ES (UASG 200352)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</si>
</sst>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43" formatCode="_-* #,##0.00_-;\-* #,##0.00_-;_-* &quot;-&quot;??_-;_-@_-"/>
    <numFmt numFmtId="164" formatCode="&quot;R$&quot;\ #,##0.00"/>
    <numFmt numFmtId="165" formatCode="0.000%"/>
    <numFmt numFmtId="166" formatCode="&quot;R$&quot;\ #,##0.000"/>
    <numFmt numFmtId="167" formatCode="_(&quot;R$ &quot;* #,##0.00_);_(&quot;R$ &quot;* \(#,##0.00\);_(&quot;R$ &quot;* &quot;-&quot;??_);_(@_)"/>
  </numFmts>
  <fonts count="24" x14ac:knownFonts="1">
    <font>
      <sz val="11"/>
      <color theme="1"/>
      <name val="Calibri"/>
      <family val="2"/>
      <scheme val="minor"/>
    </font>
    <font>
      <sz val="11"/>
      <color theme="1"/>
      <name val="Calibri"/>
      <family val="2"/>
      <scheme val="minor"/>
    </font>
    <font>
      <b/>
      <sz val="10"/>
      <color theme="1"/>
      <name val="Times New Roman"/>
      <family val="1"/>
    </font>
    <font>
      <sz val="10"/>
      <color theme="1"/>
      <name val="Times New Roman"/>
      <family val="1"/>
    </font>
    <font>
      <b/>
      <sz val="10"/>
      <name val="Times New Roman"/>
      <family val="1"/>
    </font>
    <font>
      <sz val="10"/>
      <name val="Times New Roman"/>
      <family val="1"/>
    </font>
    <font>
      <b/>
      <i/>
      <sz val="10"/>
      <color theme="1"/>
      <name val="Times New Roman"/>
      <family val="1"/>
    </font>
    <font>
      <sz val="10"/>
      <color rgb="FFFF0000"/>
      <name val="Times New Roman"/>
      <family val="1"/>
    </font>
    <font>
      <i/>
      <sz val="10"/>
      <name val="Times New Roman"/>
      <family val="1"/>
    </font>
    <font>
      <sz val="8"/>
      <color rgb="FF000000"/>
      <name val="Times New Roman"/>
      <family val="1"/>
    </font>
    <font>
      <b/>
      <sz val="11"/>
      <color theme="1"/>
      <name val="Times New Roman"/>
      <family val="1"/>
    </font>
    <font>
      <sz val="11"/>
      <color theme="1"/>
      <name val="Times New Roman"/>
      <family val="1"/>
    </font>
    <font>
      <b/>
      <i/>
      <sz val="11"/>
      <color theme="1"/>
      <name val="Times New Roman"/>
      <family val="1"/>
    </font>
    <font>
      <i/>
      <sz val="11"/>
      <color theme="1"/>
      <name val="Times New Roman"/>
      <family val="1"/>
    </font>
    <font>
      <i/>
      <sz val="11"/>
      <color theme="1"/>
      <name val="Times New Roman"/>
      <family val="1"/>
    </font>
    <font>
      <b/>
      <u/>
      <sz val="11"/>
      <color theme="1"/>
      <name val="Times New Roman"/>
      <family val="1"/>
    </font>
    <font>
      <sz val="10"/>
      <name val="Arial"/>
      <family val="2"/>
    </font>
    <font>
      <b/>
      <sz val="11"/>
      <name val="Times New Roman"/>
      <family val="1"/>
    </font>
    <font>
      <sz val="11"/>
      <color rgb="FF000000"/>
      <name val="Times New Roman"/>
      <family val="1"/>
    </font>
    <font>
      <sz val="11"/>
      <name val="Times New Roman"/>
      <family val="1"/>
    </font>
    <font>
      <b/>
      <sz val="12"/>
      <color theme="1"/>
      <name val="Times New Roman"/>
      <family val="1"/>
    </font>
    <font>
      <b/>
      <sz val="15"/>
      <color theme="1"/>
      <name val="Times New Roman"/>
      <family val="1"/>
    </font>
    <font>
      <i/>
      <sz val="11"/>
      <name val="Times New Roman"/>
      <family val="1"/>
    </font>
    <font>
      <sz val="11"/>
      <color indexed="8"/>
      <name val="Calibri"/>
      <family val="2"/>
    </font>
  </fonts>
  <fills count="1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7"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5">
    <xf numFmtId="0" fontId="0" fillId="0" borderId="0"/>
    <xf numFmtId="9" fontId="1" fillId="0" borderId="0" applyFont="0" applyFill="0" applyBorder="0" applyAlignment="0" applyProtection="0"/>
    <xf numFmtId="0" fontId="16" fillId="0" borderId="0"/>
    <xf numFmtId="43" fontId="16" fillId="0" borderId="0" applyFont="0" applyFill="0" applyBorder="0" applyAlignment="0" applyProtection="0"/>
    <xf numFmtId="167" fontId="23" fillId="0" borderId="0" applyFont="0" applyFill="0" applyBorder="0" applyAlignment="0" applyProtection="0"/>
  </cellStyleXfs>
  <cellXfs count="495">
    <xf numFmtId="0" fontId="0" fillId="0" borderId="0" xfId="0"/>
    <xf numFmtId="0" fontId="0" fillId="0" borderId="0" xfId="0" applyProtection="1">
      <protection locked="0"/>
    </xf>
    <xf numFmtId="0" fontId="3" fillId="0" borderId="0" xfId="0" applyFont="1" applyAlignment="1" applyProtection="1">
      <alignment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10" fontId="3" fillId="2" borderId="1" xfId="0" applyNumberFormat="1" applyFont="1" applyFill="1" applyBorder="1" applyAlignment="1">
      <alignment vertical="center" wrapText="1"/>
    </xf>
    <xf numFmtId="166" fontId="0" fillId="0" borderId="0" xfId="0" applyNumberFormat="1" applyProtection="1">
      <protection locked="0"/>
    </xf>
    <xf numFmtId="0" fontId="2" fillId="0" borderId="7" xfId="0" applyFont="1" applyBorder="1" applyAlignment="1" applyProtection="1">
      <alignment horizontal="center" vertical="center" wrapText="1"/>
      <protection locked="0"/>
    </xf>
    <xf numFmtId="0" fontId="3" fillId="0" borderId="1" xfId="0" applyFont="1" applyBorder="1" applyAlignment="1">
      <alignment horizontal="center"/>
    </xf>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vertical="center"/>
    </xf>
    <xf numFmtId="0" fontId="8" fillId="0" borderId="1" xfId="0" applyFont="1" applyBorder="1" applyAlignment="1">
      <alignment horizontal="right" vertical="center" wrapText="1"/>
    </xf>
    <xf numFmtId="0" fontId="7" fillId="0" borderId="0" xfId="0" applyFont="1" applyAlignment="1" applyProtection="1">
      <alignment vertical="center"/>
      <protection locked="0"/>
    </xf>
    <xf numFmtId="0" fontId="5" fillId="0" borderId="0" xfId="0" applyFont="1" applyAlignment="1" applyProtection="1">
      <alignment vertical="center"/>
      <protection locked="0"/>
    </xf>
    <xf numFmtId="2" fontId="0" fillId="0" borderId="0" xfId="0" applyNumberFormat="1" applyProtection="1">
      <protection locked="0"/>
    </xf>
    <xf numFmtId="8" fontId="0" fillId="0" borderId="0" xfId="0" applyNumberFormat="1" applyProtection="1">
      <protection locked="0"/>
    </xf>
    <xf numFmtId="10" fontId="0" fillId="0" borderId="0" xfId="1" applyNumberFormat="1" applyFont="1"/>
    <xf numFmtId="0" fontId="9" fillId="0" borderId="0" xfId="0" applyFont="1"/>
    <xf numFmtId="9" fontId="2" fillId="7" borderId="0" xfId="0" applyNumberFormat="1" applyFont="1" applyFill="1" applyProtection="1">
      <protection locked="0"/>
    </xf>
    <xf numFmtId="0" fontId="11" fillId="0" borderId="0" xfId="0" applyFont="1"/>
    <xf numFmtId="0" fontId="10" fillId="5" borderId="1" xfId="0" applyFont="1" applyFill="1" applyBorder="1" applyAlignment="1">
      <alignment horizontal="center"/>
    </xf>
    <xf numFmtId="0" fontId="11" fillId="0" borderId="1" xfId="0" applyFont="1" applyBorder="1" applyAlignment="1">
      <alignment horizontal="center"/>
    </xf>
    <xf numFmtId="164" fontId="11" fillId="0" borderId="1" xfId="0" applyNumberFormat="1" applyFont="1" applyBorder="1" applyAlignment="1">
      <alignment horizont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64" fontId="11" fillId="0" borderId="1" xfId="0" applyNumberFormat="1" applyFont="1" applyBorder="1" applyAlignment="1">
      <alignment horizontal="center" vertical="center"/>
    </xf>
    <xf numFmtId="0" fontId="11" fillId="0" borderId="1" xfId="0" applyFont="1" applyBorder="1"/>
    <xf numFmtId="0" fontId="11" fillId="0" borderId="1" xfId="0" applyFont="1" applyBorder="1" applyAlignment="1">
      <alignment vertical="center" wrapText="1"/>
    </xf>
    <xf numFmtId="8" fontId="11" fillId="7" borderId="1" xfId="0" applyNumberFormat="1" applyFont="1" applyFill="1" applyBorder="1" applyAlignment="1" applyProtection="1">
      <alignment horizontal="center" vertical="center" wrapText="1"/>
      <protection locked="0"/>
    </xf>
    <xf numFmtId="8" fontId="11" fillId="0" borderId="1" xfId="0" applyNumberFormat="1" applyFont="1" applyBorder="1"/>
    <xf numFmtId="0" fontId="11" fillId="0" borderId="1" xfId="0" applyFont="1" applyBorder="1" applyAlignment="1">
      <alignment horizontal="center" vertical="center" wrapText="1"/>
    </xf>
    <xf numFmtId="8" fontId="11"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xf>
    <xf numFmtId="0" fontId="10" fillId="9" borderId="1" xfId="0" applyFont="1" applyFill="1" applyBorder="1" applyAlignment="1">
      <alignment horizontal="center"/>
    </xf>
    <xf numFmtId="164" fontId="10" fillId="9" borderId="1" xfId="0" applyNumberFormat="1" applyFont="1" applyFill="1" applyBorder="1" applyAlignment="1">
      <alignment horizontal="center"/>
    </xf>
    <xf numFmtId="0" fontId="10" fillId="9" borderId="1" xfId="0" applyFont="1" applyFill="1" applyBorder="1" applyAlignment="1">
      <alignment horizontal="center" vertical="center"/>
    </xf>
    <xf numFmtId="164" fontId="10" fillId="10" borderId="1" xfId="0" applyNumberFormat="1" applyFont="1" applyFill="1" applyBorder="1"/>
    <xf numFmtId="164" fontId="10" fillId="10" borderId="1" xfId="0" applyNumberFormat="1" applyFont="1" applyFill="1" applyBorder="1" applyAlignment="1">
      <alignment horizontal="center"/>
    </xf>
    <xf numFmtId="164" fontId="10" fillId="9" borderId="1" xfId="0" applyNumberFormat="1" applyFont="1" applyFill="1" applyBorder="1" applyAlignment="1">
      <alignment horizontal="center" vertical="center"/>
    </xf>
    <xf numFmtId="164" fontId="10" fillId="10" borderId="1" xfId="0" applyNumberFormat="1" applyFont="1" applyFill="1" applyBorder="1" applyAlignment="1">
      <alignment horizontal="center" vertical="center"/>
    </xf>
    <xf numFmtId="164" fontId="0" fillId="0" borderId="0" xfId="0" applyNumberFormat="1" applyProtection="1">
      <protection locked="0"/>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164" fontId="10" fillId="5" borderId="1" xfId="0" applyNumberFormat="1" applyFont="1" applyFill="1" applyBorder="1" applyAlignment="1">
      <alignment horizontal="center" vertical="center"/>
    </xf>
    <xf numFmtId="0" fontId="10" fillId="12" borderId="1" xfId="0" applyFont="1" applyFill="1" applyBorder="1" applyAlignment="1">
      <alignment horizontal="center" vertical="center"/>
    </xf>
    <xf numFmtId="10" fontId="10" fillId="12" borderId="1" xfId="1" applyNumberFormat="1" applyFont="1" applyFill="1" applyBorder="1" applyAlignment="1">
      <alignment horizontal="center" vertical="center"/>
    </xf>
    <xf numFmtId="10" fontId="11" fillId="0" borderId="1" xfId="1" applyNumberFormat="1" applyFont="1" applyBorder="1" applyAlignment="1">
      <alignment horizontal="center" vertical="center"/>
    </xf>
    <xf numFmtId="0" fontId="13" fillId="0" borderId="1" xfId="0" applyFont="1" applyBorder="1" applyAlignment="1">
      <alignment horizontal="right"/>
    </xf>
    <xf numFmtId="10" fontId="13" fillId="0" borderId="1" xfId="0" applyNumberFormat="1" applyFont="1" applyBorder="1" applyAlignment="1">
      <alignment horizontal="right"/>
    </xf>
    <xf numFmtId="10" fontId="10" fillId="13" borderId="1" xfId="1" applyNumberFormat="1" applyFont="1" applyFill="1" applyBorder="1"/>
    <xf numFmtId="164" fontId="10" fillId="6" borderId="1" xfId="0" applyNumberFormat="1" applyFont="1" applyFill="1" applyBorder="1"/>
    <xf numFmtId="10" fontId="10" fillId="9" borderId="1" xfId="0" applyNumberFormat="1" applyFont="1" applyFill="1" applyBorder="1" applyAlignment="1">
      <alignment horizontal="center"/>
    </xf>
    <xf numFmtId="164" fontId="10" fillId="0" borderId="1" xfId="0" applyNumberFormat="1" applyFont="1" applyBorder="1"/>
    <xf numFmtId="164" fontId="10" fillId="6" borderId="1" xfId="0" applyNumberFormat="1" applyFont="1" applyFill="1" applyBorder="1" applyAlignment="1">
      <alignment horizontal="center"/>
    </xf>
    <xf numFmtId="10" fontId="11" fillId="0" borderId="0" xfId="1" applyNumberFormat="1" applyFont="1"/>
    <xf numFmtId="0" fontId="10" fillId="0" borderId="0" xfId="0" applyFont="1" applyAlignment="1">
      <alignment horizontal="left" wrapText="1"/>
    </xf>
    <xf numFmtId="0" fontId="11" fillId="0" borderId="0" xfId="0" applyFont="1" applyAlignment="1">
      <alignment horizontal="left"/>
    </xf>
    <xf numFmtId="0" fontId="17" fillId="5" borderId="8" xfId="2" applyFont="1" applyFill="1" applyBorder="1" applyAlignment="1">
      <alignment horizontal="center" vertical="center" wrapText="1"/>
    </xf>
    <xf numFmtId="1" fontId="18" fillId="0" borderId="9" xfId="2" applyNumberFormat="1" applyFont="1" applyBorder="1" applyAlignment="1">
      <alignment horizontal="center" vertical="center" shrinkToFit="1"/>
    </xf>
    <xf numFmtId="0" fontId="19" fillId="0" borderId="9" xfId="2" applyFont="1" applyBorder="1" applyAlignment="1">
      <alignment horizontal="left" vertical="center" wrapText="1"/>
    </xf>
    <xf numFmtId="0" fontId="19" fillId="0" borderId="9" xfId="2" applyFont="1" applyBorder="1" applyAlignment="1">
      <alignment horizontal="center" vertical="center" wrapText="1"/>
    </xf>
    <xf numFmtId="2" fontId="18" fillId="0" borderId="9" xfId="2" applyNumberFormat="1" applyFont="1" applyBorder="1" applyAlignment="1">
      <alignment horizontal="center" vertical="center" shrinkToFit="1"/>
    </xf>
    <xf numFmtId="164" fontId="18" fillId="0" borderId="9" xfId="3" applyNumberFormat="1" applyFont="1" applyFill="1" applyBorder="1" applyAlignment="1">
      <alignment horizontal="center" vertical="center" shrinkToFit="1"/>
    </xf>
    <xf numFmtId="0" fontId="13" fillId="0" borderId="1" xfId="0" applyFont="1" applyBorder="1" applyAlignment="1">
      <alignment horizontal="right" vertical="center"/>
    </xf>
    <xf numFmtId="0" fontId="19" fillId="0" borderId="9" xfId="2" quotePrefix="1" applyFont="1" applyBorder="1" applyAlignment="1">
      <alignment horizontal="center" vertical="center" wrapText="1"/>
    </xf>
    <xf numFmtId="10" fontId="13" fillId="0" borderId="1" xfId="0" applyNumberFormat="1" applyFont="1" applyBorder="1" applyAlignment="1">
      <alignment horizontal="right" vertical="center"/>
    </xf>
    <xf numFmtId="10" fontId="10" fillId="13" borderId="1" xfId="1" applyNumberFormat="1" applyFont="1" applyFill="1" applyBorder="1" applyAlignment="1">
      <alignment horizontal="center" vertical="center"/>
    </xf>
    <xf numFmtId="0" fontId="19" fillId="0" borderId="8" xfId="2" applyFont="1" applyBorder="1" applyAlignment="1">
      <alignment horizontal="left" vertical="center" wrapText="1"/>
    </xf>
    <xf numFmtId="0" fontId="19" fillId="0" borderId="10" xfId="2" applyFont="1" applyBorder="1" applyAlignment="1">
      <alignment horizontal="left" vertical="center" wrapText="1"/>
    </xf>
    <xf numFmtId="164" fontId="18" fillId="0" borderId="10" xfId="3" applyNumberFormat="1" applyFont="1" applyFill="1" applyBorder="1" applyAlignment="1">
      <alignment horizontal="center" vertical="center" shrinkToFit="1"/>
    </xf>
    <xf numFmtId="0" fontId="19" fillId="0" borderId="1" xfId="2" applyFont="1" applyBorder="1" applyAlignment="1">
      <alignment horizontal="left" vertical="center" wrapText="1"/>
    </xf>
    <xf numFmtId="164" fontId="18" fillId="0" borderId="1" xfId="3" applyNumberFormat="1" applyFont="1" applyFill="1" applyBorder="1" applyAlignment="1">
      <alignment horizontal="center" vertical="center" shrinkToFit="1"/>
    </xf>
    <xf numFmtId="0" fontId="19" fillId="0" borderId="1" xfId="2" applyFont="1" applyBorder="1" applyAlignment="1">
      <alignment horizontal="center" vertical="center" wrapText="1"/>
    </xf>
    <xf numFmtId="0" fontId="19" fillId="0" borderId="8" xfId="2" applyFont="1" applyBorder="1" applyAlignment="1">
      <alignment horizontal="center" vertical="center" wrapText="1"/>
    </xf>
    <xf numFmtId="164" fontId="18" fillId="0" borderId="8" xfId="3" applyNumberFormat="1" applyFont="1" applyFill="1" applyBorder="1" applyAlignment="1">
      <alignment horizontal="center" vertical="center" shrinkToFit="1"/>
    </xf>
    <xf numFmtId="1" fontId="18" fillId="0" borderId="10" xfId="2" applyNumberFormat="1" applyFont="1" applyBorder="1" applyAlignment="1">
      <alignment horizontal="center" vertical="center" shrinkToFit="1"/>
    </xf>
    <xf numFmtId="2" fontId="18" fillId="0" borderId="10" xfId="2" applyNumberFormat="1" applyFont="1" applyBorder="1" applyAlignment="1">
      <alignment horizontal="center" vertical="center" shrinkToFit="1"/>
    </xf>
    <xf numFmtId="164" fontId="10" fillId="0" borderId="1" xfId="0" applyNumberFormat="1" applyFont="1" applyBorder="1" applyAlignment="1">
      <alignment horizontal="center"/>
    </xf>
    <xf numFmtId="0" fontId="11" fillId="0" borderId="1" xfId="0" applyFont="1" applyBorder="1" applyAlignment="1">
      <alignment wrapText="1"/>
    </xf>
    <xf numFmtId="164" fontId="0" fillId="0" borderId="0" xfId="0" applyNumberFormat="1" applyAlignment="1">
      <alignment wrapText="1"/>
    </xf>
    <xf numFmtId="0" fontId="11" fillId="0" borderId="1" xfId="0" applyFont="1" applyBorder="1" applyAlignment="1">
      <alignment horizontal="center" vertical="center"/>
    </xf>
    <xf numFmtId="8"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164" fontId="11" fillId="0" borderId="0" xfId="0" applyNumberFormat="1" applyFont="1" applyAlignment="1">
      <alignment wrapText="1"/>
    </xf>
    <xf numFmtId="164" fontId="10" fillId="0" borderId="1" xfId="0" applyNumberFormat="1" applyFont="1" applyBorder="1" applyAlignment="1">
      <alignment horizontal="center" vertical="center" wrapText="1"/>
    </xf>
    <xf numFmtId="0" fontId="10" fillId="0" borderId="1" xfId="0" applyFont="1" applyBorder="1" applyAlignment="1">
      <alignment horizontal="center" vertical="center"/>
    </xf>
    <xf numFmtId="0" fontId="10" fillId="10" borderId="1" xfId="0" applyFont="1" applyFill="1" applyBorder="1" applyAlignment="1">
      <alignment horizontal="center" vertical="center"/>
    </xf>
    <xf numFmtId="0" fontId="11" fillId="0" borderId="0" xfId="0" applyFont="1" applyAlignment="1">
      <alignment horizontal="center" vertical="center"/>
    </xf>
    <xf numFmtId="10" fontId="11" fillId="0" borderId="0" xfId="1" applyNumberFormat="1" applyFont="1" applyAlignment="1">
      <alignment horizontal="center" vertical="center"/>
    </xf>
    <xf numFmtId="0" fontId="11" fillId="0" borderId="0" xfId="0" applyFont="1" applyAlignment="1">
      <alignment horizontal="center" vertical="center" wrapText="1"/>
    </xf>
    <xf numFmtId="10" fontId="10" fillId="15" borderId="1" xfId="1" applyNumberFormat="1" applyFont="1" applyFill="1" applyBorder="1" applyAlignment="1">
      <alignment horizontal="center" vertical="center"/>
    </xf>
    <xf numFmtId="0" fontId="10" fillId="15" borderId="1" xfId="0" applyFont="1" applyFill="1" applyBorder="1" applyAlignment="1">
      <alignment horizontal="center" vertical="center"/>
    </xf>
    <xf numFmtId="0" fontId="10" fillId="15" borderId="1" xfId="0" applyFont="1" applyFill="1" applyBorder="1" applyAlignment="1">
      <alignment horizontal="center" vertical="center" wrapText="1"/>
    </xf>
    <xf numFmtId="0" fontId="11" fillId="0" borderId="15" xfId="0" applyFont="1" applyBorder="1" applyAlignment="1">
      <alignment horizontal="center" vertical="center"/>
    </xf>
    <xf numFmtId="10" fontId="11" fillId="0" borderId="15" xfId="1" applyNumberFormat="1" applyFont="1" applyBorder="1" applyAlignment="1">
      <alignment horizontal="center" vertical="center"/>
    </xf>
    <xf numFmtId="0" fontId="11" fillId="0" borderId="15" xfId="0" applyFont="1" applyBorder="1" applyAlignment="1">
      <alignment horizontal="center" vertical="center" wrapText="1"/>
    </xf>
    <xf numFmtId="0" fontId="11" fillId="0" borderId="7" xfId="0" applyFont="1" applyBorder="1" applyAlignment="1">
      <alignment horizontal="center" vertical="center"/>
    </xf>
    <xf numFmtId="0" fontId="19" fillId="3" borderId="2" xfId="0" applyFont="1" applyFill="1" applyBorder="1" applyAlignment="1">
      <alignment vertical="center"/>
    </xf>
    <xf numFmtId="0" fontId="19" fillId="3" borderId="1" xfId="0" applyFont="1" applyFill="1" applyBorder="1" applyAlignment="1">
      <alignment vertical="center" wrapText="1"/>
    </xf>
    <xf numFmtId="0" fontId="10" fillId="0" borderId="0" xfId="0" applyFont="1" applyAlignment="1">
      <alignment vertical="center"/>
    </xf>
    <xf numFmtId="0" fontId="10" fillId="0" borderId="0" xfId="0" applyFont="1" applyAlignment="1">
      <alignment vertical="center" wrapText="1"/>
    </xf>
    <xf numFmtId="10" fontId="11" fillId="0" borderId="1" xfId="0" applyNumberFormat="1" applyFont="1" applyBorder="1" applyAlignment="1">
      <alignment horizontal="center" vertical="center" wrapText="1"/>
    </xf>
    <xf numFmtId="10" fontId="11" fillId="0" borderId="1" xfId="0" applyNumberFormat="1" applyFont="1" applyBorder="1" applyAlignment="1">
      <alignment horizontal="center" vertical="center"/>
    </xf>
    <xf numFmtId="0" fontId="19" fillId="3" borderId="1" xfId="0" applyFont="1" applyFill="1" applyBorder="1" applyAlignment="1">
      <alignment horizontal="left" vertical="center" wrapText="1"/>
    </xf>
    <xf numFmtId="0" fontId="10"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3" fillId="0" borderId="1" xfId="0" applyFont="1" applyBorder="1" applyAlignment="1">
      <alignment horizontal="center" vertical="center" wrapText="1"/>
    </xf>
    <xf numFmtId="10" fontId="13" fillId="0" borderId="1" xfId="0" applyNumberFormat="1" applyFont="1" applyBorder="1" applyAlignment="1">
      <alignment horizontal="center" vertical="center" wrapText="1"/>
    </xf>
    <xf numFmtId="0" fontId="22" fillId="3" borderId="1" xfId="0" applyFont="1" applyFill="1" applyBorder="1" applyAlignment="1">
      <alignment horizontal="left" vertical="center" wrapText="1"/>
    </xf>
    <xf numFmtId="0" fontId="19" fillId="0" borderId="1" xfId="0" applyFont="1" applyBorder="1" applyAlignment="1">
      <alignment vertical="center" wrapText="1"/>
    </xf>
    <xf numFmtId="0" fontId="19" fillId="0" borderId="1" xfId="0" applyFont="1" applyBorder="1" applyAlignment="1">
      <alignment vertical="center"/>
    </xf>
    <xf numFmtId="0" fontId="19" fillId="0" borderId="1" xfId="0" applyFont="1" applyBorder="1"/>
    <xf numFmtId="0" fontId="19" fillId="0" borderId="1" xfId="0" applyFont="1" applyBorder="1" applyAlignment="1" applyProtection="1">
      <alignment vertical="center"/>
      <protection hidden="1"/>
    </xf>
    <xf numFmtId="0" fontId="19" fillId="0" borderId="1" xfId="0" applyFont="1" applyBorder="1" applyAlignment="1" applyProtection="1">
      <alignment vertical="center" wrapText="1"/>
      <protection hidden="1"/>
    </xf>
    <xf numFmtId="0" fontId="19" fillId="3" borderId="1" xfId="0" applyFont="1" applyFill="1" applyBorder="1" applyAlignment="1" applyProtection="1">
      <alignment vertical="center"/>
      <protection hidden="1"/>
    </xf>
    <xf numFmtId="0" fontId="13" fillId="0" borderId="1" xfId="0" applyFont="1" applyBorder="1" applyAlignment="1">
      <alignment horizontal="right" vertical="center" wrapText="1"/>
    </xf>
    <xf numFmtId="165" fontId="13" fillId="0" borderId="1" xfId="1" applyNumberFormat="1" applyFont="1" applyBorder="1" applyAlignment="1">
      <alignment horizontal="center" vertical="center"/>
    </xf>
    <xf numFmtId="0" fontId="22" fillId="0" borderId="1" xfId="0" applyFont="1" applyBorder="1" applyAlignment="1" applyProtection="1">
      <alignment vertical="center"/>
      <protection hidden="1"/>
    </xf>
    <xf numFmtId="0" fontId="22" fillId="0" borderId="1" xfId="0" applyFont="1" applyBorder="1" applyAlignment="1" applyProtection="1">
      <alignment horizontal="right" vertical="center" wrapText="1"/>
      <protection hidden="1"/>
    </xf>
    <xf numFmtId="10" fontId="13" fillId="0" borderId="1" xfId="1" applyNumberFormat="1" applyFont="1" applyBorder="1" applyAlignment="1">
      <alignment horizontal="center" vertical="center"/>
    </xf>
    <xf numFmtId="165" fontId="11" fillId="0" borderId="1" xfId="1" applyNumberFormat="1" applyFont="1" applyBorder="1" applyAlignment="1">
      <alignment horizontal="center" vertical="center"/>
    </xf>
    <xf numFmtId="4" fontId="22" fillId="0" borderId="1" xfId="4" applyNumberFormat="1" applyFont="1" applyFill="1" applyBorder="1" applyAlignment="1" applyProtection="1">
      <alignment vertical="center"/>
      <protection hidden="1"/>
    </xf>
    <xf numFmtId="10" fontId="11" fillId="2" borderId="1" xfId="0" applyNumberFormat="1" applyFont="1" applyFill="1" applyBorder="1" applyAlignment="1">
      <alignment horizontal="center" vertical="center" wrapText="1"/>
    </xf>
    <xf numFmtId="0" fontId="19" fillId="3" borderId="2" xfId="0" applyFont="1" applyFill="1" applyBorder="1" applyAlignment="1">
      <alignment horizontal="left" vertical="center"/>
    </xf>
    <xf numFmtId="0" fontId="19" fillId="3" borderId="1" xfId="0" applyFont="1" applyFill="1" applyBorder="1" applyAlignment="1">
      <alignment vertical="center"/>
    </xf>
    <xf numFmtId="4" fontId="19" fillId="0" borderId="1" xfId="4" applyNumberFormat="1" applyFont="1" applyBorder="1" applyAlignment="1" applyProtection="1">
      <alignment horizontal="left" vertical="center"/>
    </xf>
    <xf numFmtId="0" fontId="11" fillId="0" borderId="1" xfId="0" applyFont="1" applyBorder="1" applyAlignment="1">
      <alignment horizontal="left" vertical="center"/>
    </xf>
    <xf numFmtId="10" fontId="12" fillId="0" borderId="1" xfId="0" applyNumberFormat="1" applyFont="1" applyBorder="1" applyAlignment="1">
      <alignment horizontal="center" vertical="center" wrapText="1"/>
    </xf>
    <xf numFmtId="0" fontId="11" fillId="0" borderId="1" xfId="0" applyFont="1" applyBorder="1" applyAlignment="1">
      <alignment horizontal="center" wrapText="1"/>
    </xf>
    <xf numFmtId="0" fontId="11" fillId="0" borderId="1" xfId="0" applyFont="1" applyBorder="1" applyAlignment="1">
      <alignment horizontal="left" wrapText="1"/>
    </xf>
    <xf numFmtId="10" fontId="11" fillId="0" borderId="1" xfId="0" applyNumberFormat="1" applyFont="1" applyBorder="1" applyAlignment="1">
      <alignment horizontal="center" wrapText="1"/>
    </xf>
    <xf numFmtId="0" fontId="19" fillId="0" borderId="1" xfId="0" applyFont="1" applyBorder="1" applyAlignment="1">
      <alignment horizontal="left"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wrapText="1"/>
    </xf>
    <xf numFmtId="0" fontId="11" fillId="0" borderId="7" xfId="0" applyFont="1" applyBorder="1" applyAlignment="1">
      <alignment horizontal="center" vertical="center" wrapText="1"/>
    </xf>
    <xf numFmtId="0" fontId="11" fillId="0" borderId="7" xfId="0" applyFont="1" applyBorder="1" applyAlignment="1">
      <alignment vertical="center" wrapText="1"/>
    </xf>
    <xf numFmtId="0" fontId="19" fillId="2" borderId="1" xfId="0" applyFont="1" applyFill="1" applyBorder="1" applyAlignment="1">
      <alignment vertical="center"/>
    </xf>
    <xf numFmtId="10" fontId="19" fillId="0" borderId="1" xfId="0" applyNumberFormat="1" applyFont="1" applyBorder="1" applyAlignment="1">
      <alignment horizontal="center" vertical="center" wrapText="1"/>
    </xf>
    <xf numFmtId="0" fontId="22" fillId="0" borderId="1" xfId="0" applyFont="1" applyBorder="1" applyAlignment="1">
      <alignment horizontal="right" vertical="center" wrapText="1"/>
    </xf>
    <xf numFmtId="0" fontId="22" fillId="0" borderId="1" xfId="0" applyFont="1" applyBorder="1" applyAlignment="1">
      <alignment vertical="center" wrapText="1"/>
    </xf>
    <xf numFmtId="10" fontId="22" fillId="0" borderId="1" xfId="0" applyNumberFormat="1" applyFont="1" applyBorder="1" applyAlignment="1">
      <alignment horizontal="center" vertical="center" wrapText="1"/>
    </xf>
    <xf numFmtId="0" fontId="22" fillId="0" borderId="15" xfId="0" applyFont="1" applyBorder="1" applyAlignment="1">
      <alignment horizontal="right" vertical="center" wrapText="1"/>
    </xf>
    <xf numFmtId="0" fontId="22" fillId="0" borderId="15" xfId="0" applyFont="1" applyBorder="1" applyAlignment="1">
      <alignment vertical="center" wrapText="1"/>
    </xf>
    <xf numFmtId="10" fontId="22" fillId="0" borderId="15" xfId="0" applyNumberFormat="1" applyFont="1" applyBorder="1" applyAlignment="1">
      <alignment horizontal="center" vertical="center" wrapText="1"/>
    </xf>
    <xf numFmtId="0" fontId="21" fillId="0" borderId="0" xfId="0" applyFont="1" applyFill="1" applyBorder="1" applyAlignment="1">
      <alignment horizontal="center" vertical="center"/>
    </xf>
    <xf numFmtId="0" fontId="0" fillId="0" borderId="0" xfId="0" applyFill="1"/>
    <xf numFmtId="0" fontId="10" fillId="11" borderId="1" xfId="0" applyFont="1" applyFill="1" applyBorder="1" applyAlignment="1" applyProtection="1">
      <alignment horizontal="center" vertical="center"/>
    </xf>
    <xf numFmtId="164" fontId="10" fillId="11" borderId="1" xfId="0" applyNumberFormat="1" applyFont="1" applyFill="1" applyBorder="1" applyAlignment="1" applyProtection="1">
      <alignment horizontal="center" vertical="center" wrapText="1"/>
    </xf>
    <xf numFmtId="0" fontId="11" fillId="0" borderId="1" xfId="0" applyFont="1" applyBorder="1" applyAlignment="1" applyProtection="1">
      <alignment horizontal="center" vertical="center"/>
    </xf>
    <xf numFmtId="0" fontId="11" fillId="0" borderId="1" xfId="0" applyFont="1" applyBorder="1" applyAlignment="1" applyProtection="1">
      <alignment vertical="center"/>
    </xf>
    <xf numFmtId="164" fontId="11" fillId="0" borderId="1" xfId="0" applyNumberFormat="1"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164" fontId="10" fillId="13" borderId="1" xfId="0" applyNumberFormat="1" applyFont="1" applyFill="1" applyBorder="1" applyAlignment="1" applyProtection="1">
      <alignment horizontal="center" vertical="center" wrapText="1"/>
    </xf>
    <xf numFmtId="0" fontId="0" fillId="0" borderId="0" xfId="0" applyProtection="1"/>
    <xf numFmtId="164" fontId="0" fillId="0" borderId="0" xfId="0" applyNumberFormat="1" applyAlignment="1" applyProtection="1">
      <alignment wrapText="1"/>
    </xf>
    <xf numFmtId="0" fontId="10" fillId="12" borderId="1" xfId="0" applyFont="1" applyFill="1" applyBorder="1" applyAlignment="1" applyProtection="1">
      <alignment horizontal="center" vertical="center"/>
    </xf>
    <xf numFmtId="0" fontId="10" fillId="12" borderId="1" xfId="0" applyFont="1" applyFill="1" applyBorder="1" applyAlignment="1" applyProtection="1">
      <alignment horizontal="center" vertical="center" wrapText="1"/>
    </xf>
    <xf numFmtId="0" fontId="11" fillId="7" borderId="1" xfId="0" applyFont="1" applyFill="1" applyBorder="1" applyAlignment="1" applyProtection="1">
      <alignment horizontal="center" vertical="center"/>
      <protection locked="0"/>
    </xf>
    <xf numFmtId="164" fontId="11" fillId="7" borderId="1" xfId="0" applyNumberFormat="1" applyFont="1" applyFill="1" applyBorder="1" applyAlignment="1" applyProtection="1">
      <alignment horizontal="center" vertical="center" wrapText="1"/>
      <protection locked="0"/>
    </xf>
    <xf numFmtId="164" fontId="11" fillId="7" borderId="1" xfId="0" applyNumberFormat="1" applyFont="1" applyFill="1" applyBorder="1" applyAlignment="1" applyProtection="1">
      <alignment horizontal="center"/>
      <protection locked="0"/>
    </xf>
    <xf numFmtId="164" fontId="11" fillId="7" borderId="1" xfId="0" applyNumberFormat="1" applyFont="1" applyFill="1" applyBorder="1" applyAlignment="1" applyProtection="1">
      <alignment horizontal="center" vertical="center"/>
      <protection locked="0"/>
    </xf>
    <xf numFmtId="10" fontId="11" fillId="7" borderId="1" xfId="1" applyNumberFormat="1" applyFont="1" applyFill="1" applyBorder="1" applyAlignment="1" applyProtection="1">
      <alignment horizontal="center" vertical="center"/>
      <protection locked="0"/>
    </xf>
    <xf numFmtId="10" fontId="11" fillId="7" borderId="1" xfId="1" applyNumberFormat="1" applyFont="1" applyFill="1" applyBorder="1" applyAlignment="1" applyProtection="1">
      <alignment horizontal="center"/>
      <protection locked="0"/>
    </xf>
    <xf numFmtId="10" fontId="11" fillId="0" borderId="1" xfId="1" applyNumberFormat="1" applyFont="1" applyBorder="1" applyAlignment="1" applyProtection="1">
      <alignment horizontal="center" vertical="center"/>
    </xf>
    <xf numFmtId="0" fontId="14" fillId="0" borderId="1" xfId="0" applyFont="1" applyBorder="1" applyAlignment="1" applyProtection="1">
      <alignment horizontal="right" vertical="center"/>
    </xf>
    <xf numFmtId="10" fontId="14" fillId="0" borderId="1" xfId="1" applyNumberFormat="1" applyFont="1" applyFill="1" applyBorder="1" applyAlignment="1" applyProtection="1">
      <alignment horizontal="right"/>
    </xf>
    <xf numFmtId="164" fontId="18" fillId="7" borderId="9" xfId="3" applyNumberFormat="1" applyFont="1" applyFill="1" applyBorder="1" applyAlignment="1" applyProtection="1">
      <alignment horizontal="center" vertical="center" shrinkToFit="1"/>
      <protection locked="0"/>
    </xf>
    <xf numFmtId="164" fontId="18" fillId="7" borderId="10" xfId="3" applyNumberFormat="1" applyFont="1" applyFill="1" applyBorder="1" applyAlignment="1" applyProtection="1">
      <alignment horizontal="center" vertical="center" shrinkToFit="1"/>
      <protection locked="0"/>
    </xf>
    <xf numFmtId="164" fontId="18" fillId="7" borderId="1" xfId="3" applyNumberFormat="1" applyFont="1" applyFill="1" applyBorder="1" applyAlignment="1" applyProtection="1">
      <alignment horizontal="center" vertical="center" shrinkToFit="1"/>
      <protection locked="0"/>
    </xf>
    <xf numFmtId="164" fontId="18" fillId="7" borderId="8" xfId="3" applyNumberFormat="1" applyFont="1" applyFill="1" applyBorder="1" applyAlignment="1" applyProtection="1">
      <alignment horizontal="center" vertical="center" shrinkToFit="1"/>
      <protection locked="0"/>
    </xf>
    <xf numFmtId="0" fontId="14" fillId="0" borderId="1" xfId="0" applyFont="1" applyFill="1" applyBorder="1" applyAlignment="1">
      <alignment horizontal="right" vertical="center"/>
    </xf>
    <xf numFmtId="10" fontId="14" fillId="0" borderId="1" xfId="1" applyNumberFormat="1" applyFont="1" applyFill="1" applyBorder="1" applyAlignment="1">
      <alignment horizontal="right" vertical="center"/>
    </xf>
    <xf numFmtId="0" fontId="19" fillId="3" borderId="13"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19" fillId="3" borderId="14" xfId="0" applyFont="1" applyFill="1" applyBorder="1" applyAlignment="1">
      <alignment horizontal="left" vertical="center" wrapText="1"/>
    </xf>
    <xf numFmtId="0" fontId="19" fillId="0" borderId="16" xfId="0" applyFont="1" applyBorder="1" applyAlignment="1">
      <alignment horizontal="left" vertical="center" wrapText="1"/>
    </xf>
    <xf numFmtId="0" fontId="19" fillId="0" borderId="0" xfId="0" applyFont="1" applyBorder="1" applyAlignment="1">
      <alignment horizontal="left" vertical="center" wrapText="1"/>
    </xf>
    <xf numFmtId="0" fontId="19" fillId="0" borderId="17" xfId="0" applyFont="1" applyBorder="1" applyAlignment="1">
      <alignment horizontal="left" vertical="center" wrapText="1"/>
    </xf>
    <xf numFmtId="0" fontId="20" fillId="15" borderId="1" xfId="0" applyFont="1" applyFill="1" applyBorder="1" applyAlignment="1">
      <alignment horizontal="center" vertical="center"/>
    </xf>
    <xf numFmtId="0" fontId="21" fillId="15" borderId="1" xfId="0" applyFont="1" applyFill="1" applyBorder="1" applyAlignment="1">
      <alignment horizontal="center" vertical="center"/>
    </xf>
    <xf numFmtId="0" fontId="20" fillId="0" borderId="2" xfId="0" applyFont="1" applyFill="1" applyBorder="1" applyAlignment="1">
      <alignment horizontal="left" vertical="center"/>
    </xf>
    <xf numFmtId="0" fontId="20" fillId="0" borderId="3" xfId="0" applyFont="1" applyFill="1" applyBorder="1" applyAlignment="1">
      <alignment horizontal="left" vertical="center"/>
    </xf>
    <xf numFmtId="0" fontId="20" fillId="0" borderId="4" xfId="0" applyFont="1" applyFill="1" applyBorder="1" applyAlignment="1">
      <alignment horizontal="left" vertical="center"/>
    </xf>
    <xf numFmtId="0" fontId="19" fillId="0" borderId="11" xfId="0" applyFont="1" applyBorder="1" applyAlignment="1">
      <alignment horizontal="left" vertical="center"/>
    </xf>
    <xf numFmtId="0" fontId="17" fillId="0" borderId="5" xfId="0" applyFont="1" applyBorder="1" applyAlignment="1">
      <alignment horizontal="left" vertical="center"/>
    </xf>
    <xf numFmtId="0" fontId="17" fillId="0" borderId="12" xfId="0" applyFont="1" applyBorder="1" applyAlignment="1">
      <alignment horizontal="left" vertical="center"/>
    </xf>
    <xf numFmtId="0" fontId="19" fillId="0" borderId="16" xfId="0" applyFont="1" applyBorder="1" applyAlignment="1">
      <alignment horizontal="left" vertical="center"/>
    </xf>
    <xf numFmtId="0" fontId="17" fillId="0" borderId="0" xfId="0" applyFont="1" applyBorder="1" applyAlignment="1">
      <alignment horizontal="left" vertical="center"/>
    </xf>
    <xf numFmtId="0" fontId="17" fillId="0" borderId="17" xfId="0" applyFont="1" applyBorder="1" applyAlignment="1">
      <alignment horizontal="left" vertical="center"/>
    </xf>
    <xf numFmtId="0" fontId="17" fillId="0" borderId="16" xfId="0" applyFont="1" applyBorder="1" applyAlignment="1">
      <alignment horizontal="left" vertical="center" wrapText="1"/>
    </xf>
    <xf numFmtId="0" fontId="17" fillId="0" borderId="0" xfId="0" applyFont="1" applyBorder="1" applyAlignment="1">
      <alignment horizontal="left" vertical="center" wrapText="1"/>
    </xf>
    <xf numFmtId="0" fontId="17" fillId="0" borderId="17" xfId="0" applyFont="1" applyBorder="1" applyAlignment="1">
      <alignment horizontal="left" vertical="center" wrapText="1"/>
    </xf>
    <xf numFmtId="0" fontId="19" fillId="3" borderId="16" xfId="0" applyFont="1" applyFill="1" applyBorder="1" applyAlignment="1">
      <alignment horizontal="left" vertical="center" wrapText="1"/>
    </xf>
    <xf numFmtId="0" fontId="19" fillId="3" borderId="0" xfId="0" applyFont="1" applyFill="1" applyBorder="1" applyAlignment="1">
      <alignment horizontal="left" vertical="center" wrapText="1"/>
    </xf>
    <xf numFmtId="0" fontId="19" fillId="3" borderId="17" xfId="0" applyFont="1" applyFill="1" applyBorder="1" applyAlignment="1">
      <alignment horizontal="left" vertical="center" wrapText="1"/>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0" fillId="15" borderId="1" xfId="0" applyFont="1" applyFill="1" applyBorder="1" applyAlignment="1">
      <alignment horizontal="center" vertical="center"/>
    </xf>
    <xf numFmtId="0" fontId="11" fillId="0" borderId="11" xfId="0" applyFont="1" applyBorder="1" applyAlignment="1">
      <alignment horizontal="left" vertical="center"/>
    </xf>
    <xf numFmtId="0" fontId="11" fillId="0" borderId="5" xfId="0" applyFont="1" applyBorder="1" applyAlignment="1">
      <alignment horizontal="left" vertical="center"/>
    </xf>
    <xf numFmtId="0" fontId="11" fillId="0" borderId="12" xfId="0" applyFont="1" applyBorder="1" applyAlignment="1">
      <alignment horizontal="left" vertical="center"/>
    </xf>
    <xf numFmtId="0" fontId="11" fillId="0" borderId="16" xfId="0" applyFont="1" applyBorder="1" applyAlignment="1">
      <alignment horizontal="left" vertical="center"/>
    </xf>
    <xf numFmtId="0" fontId="11" fillId="0" borderId="0" xfId="0" applyFont="1" applyBorder="1" applyAlignment="1">
      <alignment horizontal="left" vertical="center"/>
    </xf>
    <xf numFmtId="0" fontId="11" fillId="0" borderId="17" xfId="0" applyFont="1" applyBorder="1" applyAlignment="1">
      <alignment horizontal="left" vertical="center"/>
    </xf>
    <xf numFmtId="0" fontId="11" fillId="0" borderId="13" xfId="0" applyFont="1" applyBorder="1" applyAlignment="1">
      <alignment horizontal="left" vertical="center" wrapText="1"/>
    </xf>
    <xf numFmtId="0" fontId="11" fillId="0" borderId="6" xfId="0" applyFont="1" applyBorder="1" applyAlignment="1">
      <alignment horizontal="left" vertical="center" wrapText="1"/>
    </xf>
    <xf numFmtId="0" fontId="11" fillId="0" borderId="14" xfId="0" applyFont="1" applyBorder="1" applyAlignment="1">
      <alignment horizontal="left" vertical="center" wrapText="1"/>
    </xf>
    <xf numFmtId="0" fontId="10" fillId="0" borderId="16" xfId="0" applyFont="1" applyBorder="1" applyAlignment="1">
      <alignment horizontal="left" vertical="center" wrapText="1"/>
    </xf>
    <xf numFmtId="0" fontId="10" fillId="0" borderId="0" xfId="0" applyFont="1" applyBorder="1" applyAlignment="1">
      <alignment horizontal="left" vertical="center" wrapText="1"/>
    </xf>
    <xf numFmtId="0" fontId="10" fillId="0" borderId="17" xfId="0" applyFont="1" applyBorder="1" applyAlignment="1">
      <alignment horizontal="left" vertical="center" wrapText="1"/>
    </xf>
    <xf numFmtId="0" fontId="10" fillId="0" borderId="13" xfId="0" applyFont="1" applyBorder="1" applyAlignment="1">
      <alignment horizontal="left" vertical="center" wrapText="1"/>
    </xf>
    <xf numFmtId="0" fontId="10" fillId="0" borderId="6" xfId="0" applyFont="1" applyBorder="1" applyAlignment="1">
      <alignment horizontal="left" vertical="center" wrapText="1"/>
    </xf>
    <xf numFmtId="0" fontId="10" fillId="0" borderId="14" xfId="0" applyFont="1" applyBorder="1" applyAlignment="1">
      <alignment horizontal="left" vertical="center" wrapText="1"/>
    </xf>
    <xf numFmtId="0" fontId="10" fillId="15" borderId="11" xfId="0" applyFont="1" applyFill="1" applyBorder="1" applyAlignment="1">
      <alignment horizontal="center" vertical="center"/>
    </xf>
    <xf numFmtId="0" fontId="10" fillId="15" borderId="12" xfId="0" applyFont="1" applyFill="1" applyBorder="1" applyAlignment="1">
      <alignment horizontal="center" vertical="center"/>
    </xf>
    <xf numFmtId="10" fontId="10" fillId="15" borderId="4" xfId="1" applyNumberFormat="1" applyFont="1" applyFill="1" applyBorder="1" applyAlignment="1">
      <alignment horizontal="center" vertical="center"/>
    </xf>
    <xf numFmtId="0" fontId="10" fillId="15" borderId="1" xfId="0" applyFont="1" applyFill="1" applyBorder="1" applyAlignment="1">
      <alignment horizontal="center" vertical="center" wrapText="1"/>
    </xf>
    <xf numFmtId="0" fontId="10" fillId="15" borderId="13" xfId="0" applyFont="1" applyFill="1" applyBorder="1" applyAlignment="1">
      <alignment horizontal="center" vertical="center" wrapText="1"/>
    </xf>
    <xf numFmtId="0" fontId="10" fillId="15" borderId="14" xfId="0" applyFont="1" applyFill="1" applyBorder="1" applyAlignment="1">
      <alignment horizontal="center" vertical="center" wrapText="1"/>
    </xf>
    <xf numFmtId="0" fontId="12" fillId="0" borderId="1" xfId="0" applyFont="1" applyBorder="1" applyAlignment="1">
      <alignment horizontal="left" wrapText="1"/>
    </xf>
    <xf numFmtId="0" fontId="11" fillId="0" borderId="11" xfId="0" applyFont="1" applyBorder="1" applyAlignment="1">
      <alignment horizontal="left" vertical="center" wrapText="1"/>
    </xf>
    <xf numFmtId="0" fontId="10" fillId="0" borderId="5" xfId="0" applyFont="1" applyBorder="1" applyAlignment="1">
      <alignment horizontal="left" vertical="center" wrapText="1"/>
    </xf>
    <xf numFmtId="0" fontId="10" fillId="0" borderId="12" xfId="0" applyFont="1" applyBorder="1" applyAlignment="1">
      <alignment horizontal="left" vertical="center" wrapText="1"/>
    </xf>
    <xf numFmtId="10" fontId="10" fillId="15" borderId="15" xfId="1" applyNumberFormat="1" applyFont="1" applyFill="1" applyBorder="1" applyAlignment="1">
      <alignment horizontal="center" vertical="center"/>
    </xf>
    <xf numFmtId="10" fontId="10" fillId="15" borderId="7" xfId="1" applyNumberFormat="1" applyFont="1" applyFill="1" applyBorder="1" applyAlignment="1">
      <alignment horizontal="center" vertical="center"/>
    </xf>
    <xf numFmtId="0" fontId="10" fillId="15" borderId="15" xfId="0" applyFont="1" applyFill="1" applyBorder="1" applyAlignment="1">
      <alignment horizontal="center" vertical="center"/>
    </xf>
    <xf numFmtId="0" fontId="10" fillId="15" borderId="7" xfId="0" applyFont="1" applyFill="1" applyBorder="1" applyAlignment="1">
      <alignment horizontal="center" vertical="center"/>
    </xf>
    <xf numFmtId="0" fontId="10" fillId="15" borderId="15" xfId="0" applyFont="1" applyFill="1" applyBorder="1" applyAlignment="1">
      <alignment horizontal="center" vertical="center" wrapText="1"/>
    </xf>
    <xf numFmtId="0" fontId="10" fillId="15" borderId="7"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9" fillId="0" borderId="11" xfId="0" applyFont="1" applyBorder="1" applyAlignment="1" applyProtection="1">
      <alignment horizontal="left" vertical="center" wrapText="1"/>
      <protection hidden="1"/>
    </xf>
    <xf numFmtId="0" fontId="19" fillId="0" borderId="5" xfId="0" applyFont="1" applyBorder="1" applyAlignment="1" applyProtection="1">
      <alignment horizontal="left" vertical="center" wrapText="1"/>
      <protection hidden="1"/>
    </xf>
    <xf numFmtId="0" fontId="19" fillId="0" borderId="12" xfId="0" applyFont="1" applyBorder="1" applyAlignment="1" applyProtection="1">
      <alignment horizontal="left" vertical="center" wrapText="1"/>
      <protection hidden="1"/>
    </xf>
    <xf numFmtId="0" fontId="19" fillId="3" borderId="16" xfId="0" applyFont="1" applyFill="1" applyBorder="1" applyAlignment="1" applyProtection="1">
      <alignment horizontal="left" vertical="center" wrapText="1"/>
      <protection hidden="1"/>
    </xf>
    <xf numFmtId="0" fontId="19" fillId="3" borderId="0" xfId="0" applyFont="1" applyFill="1" applyBorder="1" applyAlignment="1" applyProtection="1">
      <alignment horizontal="left" vertical="center" wrapText="1"/>
      <protection hidden="1"/>
    </xf>
    <xf numFmtId="0" fontId="19" fillId="3" borderId="17" xfId="0" applyFont="1" applyFill="1" applyBorder="1" applyAlignment="1" applyProtection="1">
      <alignment horizontal="left" vertical="center" wrapText="1"/>
      <protection hidden="1"/>
    </xf>
    <xf numFmtId="0" fontId="19" fillId="0" borderId="16" xfId="0" applyFont="1" applyBorder="1" applyAlignment="1" applyProtection="1">
      <alignment horizontal="left" vertical="center"/>
      <protection hidden="1"/>
    </xf>
    <xf numFmtId="0" fontId="19" fillId="0" borderId="0" xfId="0" applyFont="1" applyBorder="1" applyAlignment="1" applyProtection="1">
      <alignment horizontal="left" vertical="center"/>
      <protection hidden="1"/>
    </xf>
    <xf numFmtId="0" fontId="19" fillId="0" borderId="17" xfId="0" applyFont="1" applyBorder="1" applyAlignment="1" applyProtection="1">
      <alignment horizontal="left" vertical="center"/>
      <protection hidden="1"/>
    </xf>
    <xf numFmtId="0" fontId="19" fillId="0" borderId="13" xfId="0" applyFont="1" applyBorder="1" applyAlignment="1" applyProtection="1">
      <alignment horizontal="left" vertical="center" wrapText="1"/>
      <protection hidden="1"/>
    </xf>
    <xf numFmtId="0" fontId="19" fillId="0" borderId="6" xfId="0" applyFont="1" applyBorder="1" applyAlignment="1" applyProtection="1">
      <alignment horizontal="left" vertical="center" wrapText="1"/>
      <protection hidden="1"/>
    </xf>
    <xf numFmtId="0" fontId="19" fillId="0" borderId="14" xfId="0" applyFont="1" applyBorder="1" applyAlignment="1" applyProtection="1">
      <alignment horizontal="left" vertical="center" wrapText="1"/>
      <protection hidden="1"/>
    </xf>
    <xf numFmtId="0" fontId="19" fillId="0" borderId="13" xfId="0" applyFont="1" applyBorder="1" applyAlignment="1">
      <alignment horizontal="left" vertical="center" wrapText="1"/>
    </xf>
    <xf numFmtId="0" fontId="19" fillId="0" borderId="6" xfId="0" applyFont="1" applyBorder="1" applyAlignment="1">
      <alignment horizontal="left" vertical="center" wrapText="1"/>
    </xf>
    <xf numFmtId="0" fontId="19" fillId="0" borderId="14" xfId="0" applyFont="1" applyBorder="1" applyAlignment="1">
      <alignment horizontal="left" vertical="center" wrapText="1"/>
    </xf>
    <xf numFmtId="0" fontId="10" fillId="15" borderId="2" xfId="0" applyFont="1" applyFill="1" applyBorder="1" applyAlignment="1">
      <alignment horizontal="center" vertical="center"/>
    </xf>
    <xf numFmtId="0" fontId="10" fillId="15" borderId="4" xfId="0" applyFont="1" applyFill="1" applyBorder="1" applyAlignment="1">
      <alignment horizontal="center" vertical="center"/>
    </xf>
    <xf numFmtId="10" fontId="10" fillId="15" borderId="1" xfId="1" applyNumberFormat="1" applyFont="1" applyFill="1" applyBorder="1" applyAlignment="1">
      <alignment horizontal="center" vertical="center"/>
    </xf>
    <xf numFmtId="0" fontId="11" fillId="0" borderId="11" xfId="0" applyFont="1" applyBorder="1" applyAlignment="1">
      <alignment horizontal="left"/>
    </xf>
    <xf numFmtId="0" fontId="11" fillId="0" borderId="5" xfId="0" applyFont="1" applyBorder="1" applyAlignment="1">
      <alignment horizontal="left"/>
    </xf>
    <xf numFmtId="0" fontId="11" fillId="0" borderId="12" xfId="0" applyFont="1" applyBorder="1" applyAlignment="1">
      <alignment horizontal="left"/>
    </xf>
    <xf numFmtId="0" fontId="19" fillId="3" borderId="16" xfId="0" applyFont="1" applyFill="1" applyBorder="1" applyAlignment="1">
      <alignment horizontal="left" wrapText="1"/>
    </xf>
    <xf numFmtId="0" fontId="19" fillId="3" borderId="0" xfId="0" applyFont="1" applyFill="1" applyBorder="1" applyAlignment="1">
      <alignment horizontal="left" wrapText="1"/>
    </xf>
    <xf numFmtId="0" fontId="19" fillId="3" borderId="17" xfId="0" applyFont="1" applyFill="1" applyBorder="1" applyAlignment="1">
      <alignment horizontal="left" wrapText="1"/>
    </xf>
    <xf numFmtId="0" fontId="19" fillId="3" borderId="13" xfId="0" applyFont="1" applyFill="1" applyBorder="1" applyAlignment="1">
      <alignment horizontal="left" wrapText="1"/>
    </xf>
    <xf numFmtId="0" fontId="19" fillId="3" borderId="6" xfId="0" applyFont="1" applyFill="1" applyBorder="1" applyAlignment="1">
      <alignment horizontal="left" wrapText="1"/>
    </xf>
    <xf numFmtId="0" fontId="19" fillId="3" borderId="14" xfId="0" applyFont="1" applyFill="1" applyBorder="1" applyAlignment="1">
      <alignment horizontal="left" wrapText="1"/>
    </xf>
    <xf numFmtId="0" fontId="10" fillId="0" borderId="11" xfId="0" applyFont="1" applyBorder="1" applyAlignment="1">
      <alignment horizontal="left" vertical="center" wrapText="1"/>
    </xf>
    <xf numFmtId="0" fontId="10" fillId="15" borderId="13" xfId="0" applyFont="1" applyFill="1" applyBorder="1" applyAlignment="1">
      <alignment horizontal="center" vertical="center"/>
    </xf>
    <xf numFmtId="0" fontId="10" fillId="15" borderId="14" xfId="0" applyFont="1" applyFill="1" applyBorder="1" applyAlignment="1">
      <alignment horizontal="center" vertical="center"/>
    </xf>
    <xf numFmtId="0" fontId="20" fillId="14" borderId="11" xfId="0" applyFont="1" applyFill="1" applyBorder="1" applyAlignment="1">
      <alignment horizontal="center" vertical="center"/>
    </xf>
    <xf numFmtId="0" fontId="20" fillId="14" borderId="5" xfId="0" applyFont="1" applyFill="1" applyBorder="1" applyAlignment="1">
      <alignment horizontal="center" vertical="center"/>
    </xf>
    <xf numFmtId="0" fontId="20" fillId="14" borderId="12" xfId="0" applyFont="1" applyFill="1" applyBorder="1" applyAlignment="1">
      <alignment horizontal="center" vertical="center"/>
    </xf>
    <xf numFmtId="0" fontId="21" fillId="14" borderId="13" xfId="0" applyFont="1" applyFill="1" applyBorder="1" applyAlignment="1">
      <alignment horizontal="center" vertical="center"/>
    </xf>
    <xf numFmtId="0" fontId="21" fillId="14" borderId="6" xfId="0" applyFont="1" applyFill="1" applyBorder="1" applyAlignment="1">
      <alignment horizontal="center" vertical="center"/>
    </xf>
    <xf numFmtId="0" fontId="21" fillId="14" borderId="14" xfId="0" applyFont="1" applyFill="1" applyBorder="1" applyAlignment="1">
      <alignment horizontal="center" vertical="center"/>
    </xf>
    <xf numFmtId="0" fontId="11" fillId="0" borderId="5" xfId="0" applyFont="1" applyBorder="1" applyAlignment="1">
      <alignment horizontal="left" vertical="center" wrapText="1"/>
    </xf>
    <xf numFmtId="0" fontId="11" fillId="0" borderId="12" xfId="0" applyFont="1" applyBorder="1" applyAlignment="1">
      <alignment horizontal="left" vertical="center" wrapText="1"/>
    </xf>
    <xf numFmtId="0" fontId="11" fillId="0" borderId="16" xfId="0" applyFont="1" applyBorder="1" applyAlignment="1">
      <alignment horizontal="left" vertical="center" wrapText="1"/>
    </xf>
    <xf numFmtId="0" fontId="11" fillId="0" borderId="0" xfId="0" applyFont="1" applyBorder="1" applyAlignment="1">
      <alignment horizontal="left" vertical="center" wrapText="1"/>
    </xf>
    <xf numFmtId="0" fontId="11" fillId="0" borderId="17" xfId="0" applyFont="1" applyBorder="1" applyAlignment="1">
      <alignment horizontal="left" vertical="center" wrapText="1"/>
    </xf>
    <xf numFmtId="0" fontId="11" fillId="0" borderId="1" xfId="0" applyFont="1" applyBorder="1" applyAlignment="1" applyProtection="1">
      <alignment horizontal="center" vertical="center"/>
    </xf>
    <xf numFmtId="0" fontId="10" fillId="5" borderId="1" xfId="0" applyFont="1" applyFill="1" applyBorder="1" applyAlignment="1" applyProtection="1">
      <alignment horizontal="center" vertical="center"/>
    </xf>
    <xf numFmtId="0" fontId="10" fillId="13" borderId="1" xfId="0" applyFont="1" applyFill="1" applyBorder="1" applyAlignment="1" applyProtection="1">
      <alignment horizontal="center" vertical="center"/>
    </xf>
    <xf numFmtId="0" fontId="10" fillId="5" borderId="2" xfId="0" applyFont="1" applyFill="1" applyBorder="1" applyAlignment="1" applyProtection="1">
      <alignment horizontal="center" vertical="center"/>
    </xf>
    <xf numFmtId="0" fontId="10" fillId="5" borderId="3" xfId="0" applyFont="1" applyFill="1" applyBorder="1" applyAlignment="1" applyProtection="1">
      <alignment horizontal="center" vertical="center"/>
    </xf>
    <xf numFmtId="0" fontId="10" fillId="5" borderId="4" xfId="0" applyFont="1" applyFill="1" applyBorder="1" applyAlignment="1" applyProtection="1">
      <alignment horizontal="center" vertical="center"/>
    </xf>
    <xf numFmtId="0" fontId="20" fillId="4" borderId="1" xfId="0" applyFont="1" applyFill="1" applyBorder="1" applyAlignment="1">
      <alignment horizontal="center"/>
    </xf>
    <xf numFmtId="0" fontId="10" fillId="5" borderId="1" xfId="0" applyFont="1" applyFill="1" applyBorder="1" applyAlignment="1">
      <alignment horizontal="center" vertical="center"/>
    </xf>
    <xf numFmtId="0" fontId="10" fillId="0" borderId="1" xfId="0" applyFont="1" applyBorder="1" applyAlignment="1">
      <alignment horizontal="center" vertical="center"/>
    </xf>
    <xf numFmtId="0" fontId="19" fillId="7" borderId="1" xfId="0" applyFont="1" applyFill="1" applyBorder="1" applyAlignment="1" applyProtection="1">
      <alignment horizontal="center" vertical="center"/>
      <protection locked="0"/>
    </xf>
    <xf numFmtId="0" fontId="11" fillId="7" borderId="1" xfId="0" applyFont="1" applyFill="1" applyBorder="1" applyAlignment="1" applyProtection="1">
      <alignment horizontal="center" vertical="center"/>
      <protection locked="0"/>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4" fontId="5" fillId="0" borderId="1" xfId="0" applyNumberFormat="1" applyFont="1" applyBorder="1" applyAlignment="1">
      <alignment horizontal="center" vertical="center" wrapText="1"/>
    </xf>
    <xf numFmtId="0" fontId="7" fillId="0" borderId="0" xfId="0" applyFont="1" applyAlignment="1" applyProtection="1">
      <alignment vertical="center"/>
      <protection locked="0"/>
    </xf>
    <xf numFmtId="0" fontId="4" fillId="4" borderId="0" xfId="0" applyFont="1" applyFill="1" applyAlignment="1" applyProtection="1">
      <alignment horizontal="center" vertical="center"/>
      <protection locked="0"/>
    </xf>
    <xf numFmtId="0" fontId="5" fillId="0" borderId="0" xfId="0" applyFont="1" applyAlignment="1" applyProtection="1">
      <alignment vertical="center"/>
      <protection locked="0"/>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4" fontId="4" fillId="3" borderId="2" xfId="0" applyNumberFormat="1" applyFont="1" applyFill="1" applyBorder="1" applyAlignment="1">
      <alignment horizontal="center" vertical="center" wrapText="1"/>
    </xf>
    <xf numFmtId="164" fontId="4" fillId="3" borderId="3"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164" fontId="4" fillId="0" borderId="1" xfId="0" applyNumberFormat="1" applyFont="1" applyBorder="1" applyAlignment="1">
      <alignment horizontal="center" vertical="center" wrapText="1"/>
    </xf>
    <xf numFmtId="2" fontId="4" fillId="3" borderId="2" xfId="0" applyNumberFormat="1" applyFont="1" applyFill="1" applyBorder="1" applyAlignment="1">
      <alignment horizontal="center" vertical="center" wrapText="1"/>
    </xf>
    <xf numFmtId="2" fontId="4" fillId="3" borderId="3" xfId="0" applyNumberFormat="1" applyFont="1" applyFill="1" applyBorder="1" applyAlignment="1">
      <alignment horizontal="center" vertical="center" wrapText="1"/>
    </xf>
    <xf numFmtId="2" fontId="4" fillId="3" borderId="4" xfId="0" applyNumberFormat="1" applyFont="1" applyFill="1" applyBorder="1" applyAlignment="1">
      <alignment horizontal="center" vertical="center" wrapText="1"/>
    </xf>
    <xf numFmtId="10" fontId="8" fillId="7" borderId="1" xfId="0" applyNumberFormat="1" applyFont="1" applyFill="1" applyBorder="1" applyAlignment="1" applyProtection="1">
      <alignment horizontal="right" vertical="center" wrapText="1"/>
      <protection locked="0"/>
    </xf>
    <xf numFmtId="164" fontId="8" fillId="0" borderId="1" xfId="0" applyNumberFormat="1" applyFont="1" applyBorder="1" applyAlignment="1">
      <alignment horizontal="right" vertical="center" wrapText="1"/>
    </xf>
    <xf numFmtId="0" fontId="8" fillId="0" borderId="1" xfId="0" applyFont="1" applyBorder="1" applyAlignment="1">
      <alignment horizontal="right" vertical="center" wrapText="1"/>
    </xf>
    <xf numFmtId="10" fontId="5" fillId="0" borderId="1" xfId="0" applyNumberFormat="1" applyFont="1" applyBorder="1" applyAlignment="1" applyProtection="1">
      <alignment horizontal="center" vertical="center" wrapText="1"/>
      <protection locked="0"/>
    </xf>
    <xf numFmtId="164" fontId="5" fillId="0" borderId="1" xfId="0" applyNumberFormat="1" applyFont="1" applyBorder="1" applyAlignment="1">
      <alignment vertical="center" wrapText="1"/>
    </xf>
    <xf numFmtId="10" fontId="5" fillId="7" borderId="1" xfId="0" applyNumberFormat="1" applyFont="1" applyFill="1" applyBorder="1" applyAlignment="1" applyProtection="1">
      <alignment horizontal="center" vertical="center" wrapText="1"/>
      <protection locked="0"/>
    </xf>
    <xf numFmtId="10" fontId="5" fillId="3" borderId="1" xfId="0" applyNumberFormat="1" applyFont="1" applyFill="1" applyBorder="1" applyAlignment="1">
      <alignment horizontal="center" vertical="center" wrapText="1"/>
    </xf>
    <xf numFmtId="164" fontId="5" fillId="0" borderId="1" xfId="0" applyNumberFormat="1" applyFont="1" applyBorder="1" applyAlignment="1">
      <alignment horizontal="right" vertical="center" wrapText="1"/>
    </xf>
    <xf numFmtId="0" fontId="5" fillId="0" borderId="1" xfId="0" applyFont="1" applyBorder="1" applyAlignment="1">
      <alignment horizontal="right" vertical="center" wrapText="1"/>
    </xf>
    <xf numFmtId="0" fontId="4" fillId="0" borderId="1" xfId="0" applyFont="1" applyBorder="1" applyAlignment="1">
      <alignment vertical="center" wrapText="1"/>
    </xf>
    <xf numFmtId="0" fontId="4" fillId="0" borderId="1" xfId="0" applyFont="1" applyBorder="1" applyAlignment="1" applyProtection="1">
      <alignment horizontal="center" vertical="center" wrapText="1"/>
      <protection locked="0"/>
    </xf>
    <xf numFmtId="0" fontId="4" fillId="2" borderId="0" xfId="0" applyFont="1" applyFill="1" applyAlignment="1">
      <alignment horizontal="right" vertical="center"/>
    </xf>
    <xf numFmtId="164" fontId="5" fillId="2" borderId="0" xfId="0" applyNumberFormat="1" applyFont="1" applyFill="1" applyAlignment="1">
      <alignment horizontal="center" vertical="center"/>
    </xf>
    <xf numFmtId="0" fontId="5" fillId="2" borderId="0" xfId="0" applyFont="1" applyFill="1" applyAlignment="1">
      <alignment horizontal="center" vertical="center"/>
    </xf>
    <xf numFmtId="164" fontId="5" fillId="0" borderId="6" xfId="0" applyNumberFormat="1" applyFont="1" applyBorder="1" applyAlignment="1">
      <alignment horizontal="center" vertical="center"/>
    </xf>
    <xf numFmtId="0" fontId="7" fillId="0" borderId="0" xfId="0" applyFont="1" applyAlignment="1">
      <alignment vertical="center"/>
    </xf>
    <xf numFmtId="0" fontId="4" fillId="4" borderId="0" xfId="0" applyFont="1" applyFill="1" applyAlignment="1">
      <alignment horizontal="center"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164" fontId="5" fillId="0" borderId="2"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0" fontId="5" fillId="0" borderId="0" xfId="0" applyFont="1" applyAlignment="1">
      <alignment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0" xfId="0" applyFont="1" applyAlignment="1">
      <alignment vertical="center"/>
    </xf>
    <xf numFmtId="0" fontId="3" fillId="0" borderId="1" xfId="0" applyFont="1" applyBorder="1" applyAlignment="1">
      <alignment vertical="center" wrapText="1"/>
    </xf>
    <xf numFmtId="164" fontId="3" fillId="0" borderId="1" xfId="0" applyNumberFormat="1" applyFont="1" applyBorder="1" applyAlignment="1">
      <alignment horizontal="center" vertical="center" wrapText="1"/>
    </xf>
    <xf numFmtId="0" fontId="3" fillId="2" borderId="1" xfId="0" applyFont="1" applyFill="1" applyBorder="1" applyAlignment="1">
      <alignment vertical="center" wrapText="1"/>
    </xf>
    <xf numFmtId="0" fontId="2" fillId="5" borderId="0" xfId="0" applyFont="1" applyFill="1" applyAlignment="1">
      <alignment horizontal="center" vertical="center"/>
    </xf>
    <xf numFmtId="0" fontId="3" fillId="0" borderId="6" xfId="0" applyFont="1" applyBorder="1" applyAlignment="1">
      <alignment horizontal="center" vertical="center"/>
    </xf>
    <xf numFmtId="164" fontId="3" fillId="0" borderId="1" xfId="0" applyNumberFormat="1" applyFont="1" applyBorder="1" applyAlignment="1">
      <alignment vertical="center" wrapText="1"/>
    </xf>
    <xf numFmtId="164" fontId="2" fillId="0" borderId="1" xfId="0" applyNumberFormat="1" applyFont="1" applyBorder="1" applyAlignment="1">
      <alignment vertical="center" wrapText="1"/>
    </xf>
    <xf numFmtId="0" fontId="3" fillId="0" borderId="0" xfId="0" applyFont="1" applyAlignment="1" applyProtection="1">
      <alignment vertical="center"/>
      <protection locked="0"/>
    </xf>
    <xf numFmtId="0" fontId="2" fillId="2" borderId="0" xfId="0" applyFont="1" applyFill="1" applyAlignment="1">
      <alignment horizontal="right" vertical="center"/>
    </xf>
    <xf numFmtId="0" fontId="3" fillId="0" borderId="0" xfId="0" applyFont="1" applyAlignment="1">
      <alignment vertical="center" wrapText="1"/>
    </xf>
    <xf numFmtId="0" fontId="3" fillId="0" borderId="3" xfId="0" applyFont="1" applyBorder="1" applyAlignment="1">
      <alignment horizontal="left"/>
    </xf>
    <xf numFmtId="0" fontId="3" fillId="0" borderId="4" xfId="0" applyFont="1" applyBorder="1" applyAlignment="1">
      <alignment horizontal="left"/>
    </xf>
    <xf numFmtId="10" fontId="3" fillId="0" borderId="2" xfId="0" applyNumberFormat="1" applyFont="1" applyBorder="1" applyAlignment="1">
      <alignment horizontal="center"/>
    </xf>
    <xf numFmtId="10" fontId="3" fillId="0" borderId="4" xfId="0" applyNumberFormat="1" applyFont="1" applyBorder="1" applyAlignment="1">
      <alignment horizontal="center"/>
    </xf>
    <xf numFmtId="164" fontId="3" fillId="0" borderId="2" xfId="0" applyNumberFormat="1" applyFont="1" applyBorder="1" applyAlignment="1">
      <alignment horizontal="center"/>
    </xf>
    <xf numFmtId="164" fontId="3" fillId="0" borderId="4" xfId="0" applyNumberFormat="1" applyFont="1" applyBorder="1" applyAlignment="1">
      <alignment horizontal="center"/>
    </xf>
    <xf numFmtId="0" fontId="2"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10" fontId="2" fillId="0" borderId="2" xfId="0" applyNumberFormat="1" applyFont="1" applyBorder="1" applyAlignment="1">
      <alignment horizontal="center"/>
    </xf>
    <xf numFmtId="0" fontId="2" fillId="0" borderId="4" xfId="0" applyFont="1" applyBorder="1" applyAlignment="1">
      <alignment horizontal="center"/>
    </xf>
    <xf numFmtId="164" fontId="2" fillId="0" borderId="2" xfId="0" applyNumberFormat="1" applyFont="1" applyBorder="1" applyAlignment="1">
      <alignment horizontal="center"/>
    </xf>
    <xf numFmtId="164" fontId="2" fillId="0" borderId="4" xfId="0" applyNumberFormat="1" applyFont="1" applyBorder="1" applyAlignment="1">
      <alignment horizontal="center"/>
    </xf>
    <xf numFmtId="0" fontId="6" fillId="0" borderId="2"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10" fontId="6" fillId="0" borderId="2" xfId="0" applyNumberFormat="1" applyFont="1" applyBorder="1" applyAlignment="1">
      <alignment horizontal="center"/>
    </xf>
    <xf numFmtId="10" fontId="6" fillId="0" borderId="4" xfId="0" applyNumberFormat="1" applyFont="1" applyBorder="1" applyAlignment="1">
      <alignment horizontal="center"/>
    </xf>
    <xf numFmtId="164" fontId="6" fillId="0" borderId="2" xfId="0" applyNumberFormat="1" applyFont="1" applyBorder="1" applyAlignment="1">
      <alignment horizontal="center"/>
    </xf>
    <xf numFmtId="164" fontId="6" fillId="0" borderId="4" xfId="0" applyNumberFormat="1" applyFont="1" applyBorder="1" applyAlignment="1">
      <alignment horizontal="center"/>
    </xf>
    <xf numFmtId="0" fontId="3" fillId="0" borderId="1" xfId="0" applyFont="1" applyBorder="1" applyAlignment="1" applyProtection="1">
      <alignment vertical="center" wrapText="1"/>
      <protection locked="0"/>
    </xf>
    <xf numFmtId="10" fontId="2" fillId="7" borderId="1" xfId="0" applyNumberFormat="1" applyFont="1" applyFill="1" applyBorder="1" applyAlignment="1" applyProtection="1">
      <alignment horizontal="center" vertical="center" wrapText="1"/>
      <protection locked="0"/>
    </xf>
    <xf numFmtId="0" fontId="6" fillId="0" borderId="1" xfId="0" applyFont="1" applyBorder="1" applyAlignment="1">
      <alignment horizontal="left" vertical="center" wrapText="1"/>
    </xf>
    <xf numFmtId="10"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2" fillId="2" borderId="6" xfId="0" applyFont="1" applyFill="1" applyBorder="1" applyAlignment="1" applyProtection="1">
      <alignment horizontal="center" vertical="center"/>
      <protection locked="0"/>
    </xf>
    <xf numFmtId="0" fontId="2" fillId="0" borderId="7"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10" fontId="3" fillId="2" borderId="1" xfId="0" applyNumberFormat="1"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2" fillId="4" borderId="0" xfId="0" applyFont="1" applyFill="1" applyAlignment="1" applyProtection="1">
      <alignment horizontal="center" vertical="center"/>
      <protection locked="0"/>
    </xf>
    <xf numFmtId="0" fontId="3" fillId="0" borderId="0" xfId="0" applyFont="1" applyAlignment="1" applyProtection="1">
      <alignment horizontal="center" vertical="center"/>
      <protection locked="0"/>
    </xf>
    <xf numFmtId="0" fontId="2" fillId="5" borderId="0" xfId="0" applyFont="1" applyFill="1" applyAlignment="1" applyProtection="1">
      <alignment horizontal="center" vertical="center"/>
      <protection locked="0"/>
    </xf>
    <xf numFmtId="0" fontId="2" fillId="0" borderId="0" xfId="0" applyFont="1" applyAlignment="1" applyProtection="1">
      <alignment horizontal="right" vertical="center" wrapText="1"/>
      <protection locked="0"/>
    </xf>
    <xf numFmtId="164" fontId="2" fillId="0" borderId="0" xfId="0" applyNumberFormat="1" applyFont="1" applyAlignment="1">
      <alignment horizontal="center" vertical="center"/>
    </xf>
    <xf numFmtId="0" fontId="3" fillId="0" borderId="1" xfId="0" applyFont="1" applyBorder="1" applyAlignment="1" applyProtection="1">
      <alignment horizontal="justify" vertical="center" wrapText="1"/>
      <protection locked="0"/>
    </xf>
    <xf numFmtId="165" fontId="3" fillId="2" borderId="1" xfId="0" applyNumberFormat="1" applyFont="1" applyFill="1" applyBorder="1" applyAlignment="1">
      <alignment horizontal="center" vertical="center" wrapText="1"/>
    </xf>
    <xf numFmtId="164" fontId="3" fillId="2" borderId="2" xfId="0" applyNumberFormat="1" applyFont="1" applyFill="1" applyBorder="1" applyAlignment="1">
      <alignment horizontal="right" vertical="center" wrapText="1"/>
    </xf>
    <xf numFmtId="164" fontId="3" fillId="2" borderId="4" xfId="0" applyNumberFormat="1" applyFont="1" applyFill="1" applyBorder="1" applyAlignment="1">
      <alignment horizontal="right" vertical="center" wrapText="1"/>
    </xf>
    <xf numFmtId="165" fontId="2" fillId="0" borderId="1" xfId="0" applyNumberFormat="1" applyFont="1" applyBorder="1" applyAlignment="1">
      <alignment horizontal="center" vertical="center" wrapText="1"/>
    </xf>
    <xf numFmtId="164" fontId="3" fillId="2" borderId="2" xfId="0" applyNumberFormat="1" applyFont="1" applyFill="1" applyBorder="1" applyAlignment="1">
      <alignment vertical="center" wrapText="1"/>
    </xf>
    <xf numFmtId="164" fontId="3" fillId="2" borderId="4" xfId="0" applyNumberFormat="1" applyFont="1" applyFill="1" applyBorder="1" applyAlignment="1">
      <alignment vertical="center" wrapText="1"/>
    </xf>
    <xf numFmtId="10" fontId="2" fillId="0" borderId="1" xfId="0" applyNumberFormat="1" applyFont="1" applyBorder="1" applyAlignment="1" applyProtection="1">
      <alignment horizontal="center" vertical="center" wrapText="1"/>
      <protection locked="0"/>
    </xf>
    <xf numFmtId="164" fontId="3" fillId="2" borderId="1" xfId="0" applyNumberFormat="1" applyFont="1" applyFill="1" applyBorder="1" applyAlignment="1">
      <alignment vertical="center" wrapText="1"/>
    </xf>
    <xf numFmtId="0" fontId="3" fillId="0" borderId="5" xfId="0" applyFont="1" applyBorder="1" applyAlignment="1" applyProtection="1">
      <alignment horizontal="center" vertical="center"/>
      <protection locked="0"/>
    </xf>
    <xf numFmtId="164" fontId="4" fillId="0" borderId="0" xfId="0" applyNumberFormat="1" applyFont="1" applyAlignment="1">
      <alignment horizontal="center" vertical="center"/>
    </xf>
    <xf numFmtId="0" fontId="2" fillId="0" borderId="6"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10" fontId="3" fillId="0" borderId="2" xfId="1" applyNumberFormat="1" applyFont="1" applyBorder="1" applyAlignment="1" applyProtection="1">
      <alignment horizontal="center"/>
      <protection locked="0"/>
    </xf>
    <xf numFmtId="10" fontId="3" fillId="0" borderId="4" xfId="1" applyNumberFormat="1" applyFont="1" applyBorder="1" applyAlignment="1" applyProtection="1">
      <alignment horizontal="center"/>
      <protection locked="0"/>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pplyProtection="1">
      <alignment horizontal="center"/>
      <protection locked="0"/>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165" fontId="2" fillId="7" borderId="2" xfId="1" applyNumberFormat="1" applyFont="1" applyFill="1" applyBorder="1" applyAlignment="1" applyProtection="1">
      <alignment horizontal="center"/>
      <protection locked="0"/>
    </xf>
    <xf numFmtId="165" fontId="2" fillId="7" borderId="4" xfId="1" applyNumberFormat="1" applyFont="1" applyFill="1" applyBorder="1" applyAlignment="1" applyProtection="1">
      <alignment horizontal="center"/>
      <protection locked="0"/>
    </xf>
    <xf numFmtId="10" fontId="2" fillId="7" borderId="2" xfId="1" applyNumberFormat="1" applyFont="1" applyFill="1" applyBorder="1" applyAlignment="1" applyProtection="1">
      <alignment horizontal="center"/>
      <protection locked="0"/>
    </xf>
    <xf numFmtId="10" fontId="2" fillId="7" borderId="4" xfId="1" applyNumberFormat="1" applyFont="1" applyFill="1" applyBorder="1" applyAlignment="1" applyProtection="1">
      <alignment horizontal="center"/>
      <protection locked="0"/>
    </xf>
    <xf numFmtId="0" fontId="2" fillId="0" borderId="2" xfId="0" applyFont="1" applyBorder="1" applyAlignment="1" applyProtection="1">
      <alignment horizontal="center"/>
      <protection locked="0"/>
    </xf>
    <xf numFmtId="0" fontId="2" fillId="0" borderId="4" xfId="0" applyFont="1" applyBorder="1" applyAlignment="1" applyProtection="1">
      <alignment horizontal="center"/>
      <protection locked="0"/>
    </xf>
    <xf numFmtId="164" fontId="3" fillId="0" borderId="2" xfId="0" applyNumberFormat="1" applyFont="1" applyBorder="1" applyAlignment="1" applyProtection="1">
      <alignment horizontal="center"/>
      <protection locked="0"/>
    </xf>
    <xf numFmtId="164" fontId="3" fillId="0" borderId="4" xfId="0" applyNumberFormat="1" applyFont="1" applyBorder="1" applyAlignment="1" applyProtection="1">
      <alignment horizontal="center"/>
      <protection locked="0"/>
    </xf>
    <xf numFmtId="10" fontId="2"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2" fillId="0" borderId="1" xfId="0" applyFont="1" applyBorder="1" applyAlignment="1">
      <alignment vertical="center" wrapText="1"/>
    </xf>
    <xf numFmtId="10" fontId="4" fillId="7" borderId="1" xfId="0" applyNumberFormat="1" applyFont="1" applyFill="1" applyBorder="1" applyAlignment="1" applyProtection="1">
      <alignment horizontal="center" vertical="center" wrapText="1"/>
      <protection locked="0"/>
    </xf>
    <xf numFmtId="0" fontId="2" fillId="5" borderId="0" xfId="0" applyFont="1" applyFill="1" applyAlignment="1" applyProtection="1">
      <alignment horizontal="center" vertical="center" wrapText="1"/>
      <protection locked="0"/>
    </xf>
    <xf numFmtId="164" fontId="2" fillId="0" borderId="0" xfId="0" applyNumberFormat="1" applyFont="1" applyAlignment="1">
      <alignment horizontal="center" vertical="center" wrapText="1"/>
    </xf>
    <xf numFmtId="0" fontId="2" fillId="0" borderId="6" xfId="0" applyFont="1" applyBorder="1" applyAlignment="1" applyProtection="1">
      <alignment horizontal="center" vertical="center" wrapText="1"/>
      <protection locked="0"/>
    </xf>
    <xf numFmtId="0" fontId="2" fillId="0" borderId="7" xfId="0" applyFont="1" applyBorder="1" applyAlignment="1">
      <alignment horizontal="center" vertical="center" wrapText="1"/>
    </xf>
    <xf numFmtId="2" fontId="2" fillId="0" borderId="7" xfId="0" applyNumberFormat="1" applyFont="1" applyBorder="1" applyAlignment="1" applyProtection="1">
      <alignment horizontal="center" vertical="center" wrapText="1"/>
      <protection locked="0"/>
    </xf>
    <xf numFmtId="0" fontId="3" fillId="0" borderId="1" xfId="0" applyFont="1" applyBorder="1" applyAlignment="1">
      <alignment horizontal="center" vertical="center" wrapText="1"/>
    </xf>
    <xf numFmtId="164" fontId="2" fillId="0" borderId="1" xfId="0" applyNumberFormat="1" applyFont="1" applyBorder="1" applyAlignment="1">
      <alignment horizontal="right" vertical="center" wrapText="1"/>
    </xf>
    <xf numFmtId="164" fontId="3" fillId="0" borderId="1" xfId="0" applyNumberFormat="1" applyFont="1" applyBorder="1" applyAlignment="1">
      <alignment horizontal="right" vertical="center" wrapText="1"/>
    </xf>
    <xf numFmtId="0" fontId="2" fillId="0" borderId="0" xfId="0" applyFont="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1" xfId="0" applyFont="1" applyBorder="1" applyAlignment="1">
      <alignment horizontal="center" vertical="center"/>
    </xf>
    <xf numFmtId="14" fontId="2" fillId="0" borderId="1" xfId="0" applyNumberFormat="1" applyFont="1" applyBorder="1" applyAlignment="1">
      <alignment horizontal="center" vertical="center" wrapText="1"/>
    </xf>
    <xf numFmtId="164" fontId="4" fillId="7" borderId="1" xfId="0" applyNumberFormat="1" applyFont="1" applyFill="1" applyBorder="1" applyAlignment="1" applyProtection="1">
      <alignment horizontal="center" vertical="center"/>
      <protection locked="0"/>
    </xf>
    <xf numFmtId="0" fontId="2" fillId="0" borderId="0" xfId="0" applyFont="1" applyAlignment="1" applyProtection="1">
      <alignment horizontal="right"/>
      <protection locked="0"/>
    </xf>
    <xf numFmtId="164" fontId="2" fillId="0" borderId="0" xfId="0" applyNumberFormat="1" applyFont="1" applyAlignment="1">
      <alignment horizontal="center"/>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164" fontId="3" fillId="0" borderId="2"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2" borderId="1" xfId="0" applyFont="1" applyFill="1" applyBorder="1" applyAlignment="1" applyProtection="1">
      <alignment vertical="center" wrapText="1"/>
      <protection locked="0"/>
    </xf>
    <xf numFmtId="0" fontId="3" fillId="0" borderId="1" xfId="0" applyFont="1" applyBorder="1" applyAlignment="1">
      <alignment horizontal="justify" vertical="center" wrapText="1"/>
    </xf>
    <xf numFmtId="0" fontId="2" fillId="7" borderId="2" xfId="0" applyFont="1" applyFill="1" applyBorder="1" applyAlignment="1" applyProtection="1">
      <alignment horizontal="center" vertical="center" wrapText="1"/>
      <protection locked="0"/>
    </xf>
    <xf numFmtId="0" fontId="2" fillId="7" borderId="3" xfId="0" applyFont="1" applyFill="1" applyBorder="1" applyAlignment="1" applyProtection="1">
      <alignment horizontal="center" vertical="center" wrapText="1"/>
      <protection locked="0"/>
    </xf>
    <xf numFmtId="0" fontId="2" fillId="7" borderId="4" xfId="0" applyFont="1" applyFill="1" applyBorder="1" applyAlignment="1" applyProtection="1">
      <alignment horizontal="center" vertical="center" wrapText="1"/>
      <protection locked="0"/>
    </xf>
    <xf numFmtId="0" fontId="2" fillId="0" borderId="1" xfId="0" applyFont="1" applyBorder="1" applyAlignment="1" applyProtection="1">
      <alignment horizontal="left" vertical="center"/>
    </xf>
    <xf numFmtId="0" fontId="3" fillId="0" borderId="1" xfId="0" applyFont="1" applyFill="1" applyBorder="1" applyAlignment="1" applyProtection="1">
      <alignment horizontal="center" vertical="center"/>
    </xf>
    <xf numFmtId="0" fontId="3" fillId="0" borderId="1" xfId="0" applyFont="1" applyBorder="1" applyAlignment="1" applyProtection="1">
      <alignment horizontal="left" vertical="center"/>
    </xf>
    <xf numFmtId="0" fontId="3" fillId="7" borderId="1" xfId="0" applyFont="1" applyFill="1" applyBorder="1" applyAlignment="1" applyProtection="1">
      <alignment horizontal="center" vertical="center"/>
      <protection locked="0"/>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2" fontId="3" fillId="0" borderId="1" xfId="0" applyNumberFormat="1" applyFont="1" applyBorder="1" applyAlignment="1">
      <alignment horizontal="center" vertical="center" wrapText="1"/>
    </xf>
    <xf numFmtId="10" fontId="8" fillId="0" borderId="1" xfId="0" applyNumberFormat="1" applyFont="1" applyFill="1" applyBorder="1" applyAlignment="1" applyProtection="1">
      <alignment horizontal="right" vertical="center" wrapText="1"/>
    </xf>
    <xf numFmtId="0" fontId="2" fillId="7" borderId="2" xfId="0" applyFont="1" applyFill="1" applyBorder="1" applyAlignment="1" applyProtection="1">
      <alignment horizontal="center"/>
      <protection locked="0"/>
    </xf>
    <xf numFmtId="0" fontId="2" fillId="7" borderId="3" xfId="0" applyFont="1" applyFill="1" applyBorder="1" applyAlignment="1" applyProtection="1">
      <alignment horizontal="center"/>
      <protection locked="0"/>
    </xf>
    <xf numFmtId="0" fontId="2" fillId="7" borderId="4" xfId="0" applyFont="1" applyFill="1" applyBorder="1" applyAlignment="1" applyProtection="1">
      <alignment horizontal="center"/>
      <protection locked="0"/>
    </xf>
    <xf numFmtId="164" fontId="2" fillId="0" borderId="2" xfId="1" applyNumberFormat="1" applyFont="1" applyFill="1" applyBorder="1" applyAlignment="1" applyProtection="1">
      <alignment horizontal="center"/>
      <protection locked="0"/>
    </xf>
    <xf numFmtId="164" fontId="2" fillId="0" borderId="4" xfId="1" applyNumberFormat="1" applyFont="1" applyFill="1" applyBorder="1" applyAlignment="1" applyProtection="1">
      <alignment horizontal="center"/>
      <protection locked="0"/>
    </xf>
    <xf numFmtId="164" fontId="8" fillId="0" borderId="1" xfId="0" applyNumberFormat="1" applyFont="1" applyBorder="1" applyAlignment="1" applyProtection="1">
      <alignment horizontal="right" vertical="center" wrapText="1"/>
    </xf>
    <xf numFmtId="164" fontId="5" fillId="0" borderId="1" xfId="0" applyNumberFormat="1" applyFont="1" applyBorder="1" applyAlignment="1" applyProtection="1">
      <alignment horizontal="center" vertical="center" wrapText="1"/>
    </xf>
    <xf numFmtId="164" fontId="3" fillId="0" borderId="2" xfId="0" applyNumberFormat="1" applyFont="1" applyBorder="1" applyAlignment="1" applyProtection="1">
      <alignment horizontal="center"/>
    </xf>
    <xf numFmtId="164" fontId="3" fillId="0" borderId="4" xfId="0" applyNumberFormat="1" applyFont="1" applyBorder="1" applyAlignment="1" applyProtection="1">
      <alignment horizontal="center"/>
    </xf>
    <xf numFmtId="164" fontId="3" fillId="0" borderId="1" xfId="0" applyNumberFormat="1" applyFont="1" applyBorder="1" applyAlignment="1" applyProtection="1">
      <alignment horizontal="center" vertical="center" wrapText="1"/>
    </xf>
    <xf numFmtId="164" fontId="2" fillId="0" borderId="1" xfId="0" applyNumberFormat="1" applyFont="1" applyBorder="1" applyAlignment="1" applyProtection="1">
      <alignment horizontal="center" vertical="center" wrapText="1"/>
    </xf>
    <xf numFmtId="164" fontId="2" fillId="7" borderId="2" xfId="1" applyNumberFormat="1" applyFont="1" applyFill="1" applyBorder="1" applyAlignment="1" applyProtection="1">
      <alignment horizontal="center"/>
      <protection locked="0"/>
    </xf>
    <xf numFmtId="164" fontId="2" fillId="7" borderId="4" xfId="1" applyNumberFormat="1" applyFont="1" applyFill="1" applyBorder="1" applyAlignment="1" applyProtection="1">
      <alignment horizontal="center"/>
      <protection locked="0"/>
    </xf>
    <xf numFmtId="0" fontId="10" fillId="8" borderId="1" xfId="0" applyFont="1" applyFill="1" applyBorder="1" applyAlignment="1">
      <alignment horizontal="center"/>
    </xf>
    <xf numFmtId="0" fontId="10" fillId="9" borderId="1" xfId="0" applyFont="1" applyFill="1" applyBorder="1" applyAlignment="1">
      <alignment horizontal="center"/>
    </xf>
    <xf numFmtId="0" fontId="10" fillId="10" borderId="1" xfId="0" applyFont="1" applyFill="1" applyBorder="1" applyAlignment="1">
      <alignment horizontal="center"/>
    </xf>
    <xf numFmtId="0" fontId="10" fillId="10" borderId="2" xfId="0" applyFont="1" applyFill="1" applyBorder="1" applyAlignment="1">
      <alignment horizontal="center" vertical="center"/>
    </xf>
    <xf numFmtId="0" fontId="10" fillId="10" borderId="3" xfId="0" applyFont="1" applyFill="1" applyBorder="1" applyAlignment="1">
      <alignment horizontal="center" vertical="center"/>
    </xf>
    <xf numFmtId="0" fontId="10" fillId="10" borderId="4" xfId="0" applyFont="1" applyFill="1" applyBorder="1" applyAlignment="1">
      <alignment horizontal="center" vertical="center"/>
    </xf>
    <xf numFmtId="8" fontId="11" fillId="0" borderId="1" xfId="0" applyNumberFormat="1" applyFont="1" applyBorder="1" applyAlignment="1">
      <alignment horizontal="center" vertical="center"/>
    </xf>
    <xf numFmtId="0" fontId="10" fillId="8" borderId="1" xfId="0" applyFont="1" applyFill="1" applyBorder="1" applyAlignment="1">
      <alignment horizontal="center" vertical="center"/>
    </xf>
    <xf numFmtId="0" fontId="10" fillId="4" borderId="1" xfId="0" applyFont="1" applyFill="1" applyBorder="1" applyAlignment="1">
      <alignment horizontal="center" vertical="center"/>
    </xf>
    <xf numFmtId="0" fontId="11" fillId="0" borderId="1" xfId="0" applyFont="1" applyBorder="1" applyAlignment="1">
      <alignment horizontal="center" vertical="center"/>
    </xf>
    <xf numFmtId="0" fontId="10" fillId="6" borderId="1" xfId="0" applyFont="1" applyFill="1" applyBorder="1" applyAlignment="1">
      <alignment horizontal="center"/>
    </xf>
    <xf numFmtId="0" fontId="10" fillId="8" borderId="1" xfId="0"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4" xfId="0" applyFont="1" applyBorder="1" applyAlignment="1">
      <alignment horizontal="center"/>
    </xf>
    <xf numFmtId="0" fontId="11" fillId="0" borderId="0" xfId="0" applyFont="1" applyAlignment="1">
      <alignment horizontal="left"/>
    </xf>
    <xf numFmtId="0" fontId="10" fillId="4" borderId="1" xfId="0" applyFont="1" applyFill="1" applyBorder="1" applyAlignment="1">
      <alignment horizontal="center"/>
    </xf>
    <xf numFmtId="0" fontId="10" fillId="13" borderId="1" xfId="0" applyFont="1" applyFill="1" applyBorder="1" applyAlignment="1">
      <alignment horizontal="center" vertical="center"/>
    </xf>
    <xf numFmtId="0" fontId="10" fillId="0" borderId="0" xfId="0" applyFont="1" applyAlignment="1">
      <alignment horizontal="center"/>
    </xf>
    <xf numFmtId="0" fontId="10" fillId="0" borderId="0" xfId="0" applyFont="1" applyAlignment="1">
      <alignment horizontal="center" wrapText="1"/>
    </xf>
    <xf numFmtId="0" fontId="10" fillId="6" borderId="2" xfId="0" applyFont="1" applyFill="1" applyBorder="1" applyAlignment="1">
      <alignment horizontal="center"/>
    </xf>
    <xf numFmtId="0" fontId="10" fillId="6" borderId="3" xfId="0" applyFont="1" applyFill="1" applyBorder="1" applyAlignment="1">
      <alignment horizontal="center"/>
    </xf>
    <xf numFmtId="0" fontId="10" fillId="6" borderId="4" xfId="0" applyFont="1" applyFill="1" applyBorder="1" applyAlignment="1">
      <alignment horizontal="center"/>
    </xf>
    <xf numFmtId="0" fontId="11" fillId="0" borderId="0" xfId="0" applyFont="1" applyAlignment="1">
      <alignment horizontal="left" vertical="center" wrapText="1"/>
    </xf>
    <xf numFmtId="0" fontId="11" fillId="0" borderId="0" xfId="0" applyFont="1" applyAlignment="1">
      <alignment horizontal="left" vertical="center"/>
    </xf>
    <xf numFmtId="0" fontId="10" fillId="4" borderId="2" xfId="0" applyFont="1" applyFill="1" applyBorder="1" applyAlignment="1">
      <alignment horizontal="center"/>
    </xf>
    <xf numFmtId="0" fontId="10" fillId="4" borderId="3" xfId="0" applyFont="1" applyFill="1" applyBorder="1" applyAlignment="1">
      <alignment horizontal="center"/>
    </xf>
    <xf numFmtId="0" fontId="10" fillId="4" borderId="4" xfId="0" applyFont="1" applyFill="1" applyBorder="1" applyAlignment="1">
      <alignment horizontal="center"/>
    </xf>
    <xf numFmtId="0" fontId="10" fillId="8" borderId="2" xfId="0" applyFont="1" applyFill="1" applyBorder="1" applyAlignment="1">
      <alignment horizontal="center" vertical="center"/>
    </xf>
    <xf numFmtId="0" fontId="10" fillId="8" borderId="3" xfId="0" applyFont="1" applyFill="1" applyBorder="1" applyAlignment="1">
      <alignment horizontal="center" vertical="center"/>
    </xf>
    <xf numFmtId="0" fontId="10" fillId="8" borderId="4" xfId="0" applyFont="1" applyFill="1" applyBorder="1" applyAlignment="1">
      <alignment horizontal="center" vertical="center"/>
    </xf>
    <xf numFmtId="0" fontId="10" fillId="13" borderId="2" xfId="0" applyFont="1" applyFill="1" applyBorder="1" applyAlignment="1">
      <alignment horizontal="center" vertical="center"/>
    </xf>
    <xf numFmtId="0" fontId="10" fillId="13" borderId="4" xfId="0" applyFont="1" applyFill="1" applyBorder="1" applyAlignment="1">
      <alignment horizontal="center" vertical="center"/>
    </xf>
    <xf numFmtId="0" fontId="10" fillId="4" borderId="6" xfId="0" applyFont="1" applyFill="1" applyBorder="1" applyAlignment="1">
      <alignment horizontal="center"/>
    </xf>
  </cellXfs>
  <cellStyles count="5">
    <cellStyle name="Moeda 4" xfId="4" xr:uid="{38BE5CC2-1427-4AB1-899D-0540DB1D1FB0}"/>
    <cellStyle name="Normal" xfId="0" builtinId="0"/>
    <cellStyle name="Normal 2" xfId="2" xr:uid="{3D47675D-05AB-4EE0-9755-6FA66B3D6EF3}"/>
    <cellStyle name="Porcentagem" xfId="1" builtinId="5"/>
    <cellStyle name="Vírgula 2" xfId="3" xr:uid="{90F8A533-1913-43D0-8A9C-6C923748673E}"/>
  </cellStyles>
  <dxfs count="54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8AFF1-09E2-4380-9782-8E989EE75623}">
  <sheetPr>
    <tabColor theme="7" tint="0.79998168889431442"/>
  </sheetPr>
  <dimension ref="B1:F131"/>
  <sheetViews>
    <sheetView zoomScale="70" zoomScaleNormal="70" workbookViewId="0">
      <selection activeCell="B2" sqref="B2:F2"/>
    </sheetView>
  </sheetViews>
  <sheetFormatPr defaultRowHeight="14.5" x14ac:dyDescent="0.35"/>
  <cols>
    <col min="1" max="2" width="5.1796875" customWidth="1"/>
    <col min="3" max="3" width="78.81640625" customWidth="1"/>
    <col min="5" max="5" width="50.36328125" bestFit="1" customWidth="1"/>
    <col min="6" max="6" width="71.1796875" customWidth="1"/>
  </cols>
  <sheetData>
    <row r="1" spans="2:6" ht="15" x14ac:dyDescent="0.35">
      <c r="B1" s="270" t="s">
        <v>781</v>
      </c>
      <c r="C1" s="271"/>
      <c r="D1" s="271"/>
      <c r="E1" s="271"/>
      <c r="F1" s="272"/>
    </row>
    <row r="2" spans="2:6" ht="19" x14ac:dyDescent="0.35">
      <c r="B2" s="273" t="s">
        <v>782</v>
      </c>
      <c r="C2" s="274"/>
      <c r="D2" s="274"/>
      <c r="E2" s="274"/>
      <c r="F2" s="275"/>
    </row>
    <row r="3" spans="2:6" s="153" customFormat="1" ht="19" x14ac:dyDescent="0.35">
      <c r="B3" s="152"/>
      <c r="C3" s="152"/>
      <c r="D3" s="152"/>
      <c r="E3" s="152"/>
      <c r="F3" s="152"/>
    </row>
    <row r="4" spans="2:6" s="153" customFormat="1" ht="19" x14ac:dyDescent="0.35">
      <c r="B4" s="186" t="s">
        <v>902</v>
      </c>
      <c r="C4" s="187"/>
      <c r="D4" s="187"/>
      <c r="E4" s="187"/>
      <c r="F4" s="187"/>
    </row>
    <row r="5" spans="2:6" s="153" customFormat="1" ht="19" customHeight="1" x14ac:dyDescent="0.35">
      <c r="B5" s="188" t="s">
        <v>900</v>
      </c>
      <c r="C5" s="189"/>
      <c r="D5" s="189"/>
      <c r="E5" s="189"/>
      <c r="F5" s="190"/>
    </row>
    <row r="6" spans="2:6" s="153" customFormat="1" ht="19" customHeight="1" x14ac:dyDescent="0.35">
      <c r="B6" s="188" t="s">
        <v>901</v>
      </c>
      <c r="C6" s="189"/>
      <c r="D6" s="189"/>
      <c r="E6" s="189"/>
      <c r="F6" s="190"/>
    </row>
    <row r="7" spans="2:6" x14ac:dyDescent="0.35">
      <c r="B7" s="94"/>
      <c r="C7" s="94"/>
      <c r="D7" s="95"/>
      <c r="E7" s="94"/>
      <c r="F7" s="96"/>
    </row>
    <row r="8" spans="2:6" x14ac:dyDescent="0.35">
      <c r="B8" s="206" t="s">
        <v>27</v>
      </c>
      <c r="C8" s="206"/>
      <c r="D8" s="97" t="s">
        <v>85</v>
      </c>
      <c r="E8" s="98" t="s">
        <v>783</v>
      </c>
      <c r="F8" s="99" t="s">
        <v>784</v>
      </c>
    </row>
    <row r="9" spans="2:6" x14ac:dyDescent="0.35">
      <c r="B9" s="89" t="s">
        <v>3</v>
      </c>
      <c r="C9" s="89" t="s">
        <v>785</v>
      </c>
      <c r="D9" s="53" t="s">
        <v>66</v>
      </c>
      <c r="E9" s="89" t="s">
        <v>66</v>
      </c>
      <c r="F9" s="31" t="s">
        <v>786</v>
      </c>
    </row>
    <row r="10" spans="2:6" x14ac:dyDescent="0.35">
      <c r="B10" s="89" t="s">
        <v>5</v>
      </c>
      <c r="C10" s="89" t="s">
        <v>31</v>
      </c>
      <c r="D10" s="53">
        <v>0.3</v>
      </c>
      <c r="E10" s="89" t="s">
        <v>66</v>
      </c>
      <c r="F10" s="31" t="s">
        <v>787</v>
      </c>
    </row>
    <row r="11" spans="2:6" x14ac:dyDescent="0.35">
      <c r="B11" s="89" t="s">
        <v>7</v>
      </c>
      <c r="C11" s="89" t="s">
        <v>894</v>
      </c>
      <c r="D11" s="53">
        <v>0.4</v>
      </c>
      <c r="E11" s="89" t="s">
        <v>66</v>
      </c>
      <c r="F11" s="31" t="s">
        <v>895</v>
      </c>
    </row>
    <row r="12" spans="2:6" x14ac:dyDescent="0.35">
      <c r="B12" s="100" t="s">
        <v>9</v>
      </c>
      <c r="C12" s="100" t="s">
        <v>788</v>
      </c>
      <c r="D12" s="101" t="s">
        <v>66</v>
      </c>
      <c r="E12" s="100" t="s">
        <v>66</v>
      </c>
      <c r="F12" s="102"/>
    </row>
    <row r="13" spans="2:6" x14ac:dyDescent="0.35">
      <c r="B13" s="229" t="s">
        <v>789</v>
      </c>
      <c r="C13" s="276"/>
      <c r="D13" s="276"/>
      <c r="E13" s="276"/>
      <c r="F13" s="277"/>
    </row>
    <row r="14" spans="2:6" ht="28.5" customHeight="1" x14ac:dyDescent="0.35">
      <c r="B14" s="278" t="s">
        <v>790</v>
      </c>
      <c r="C14" s="279"/>
      <c r="D14" s="279"/>
      <c r="E14" s="279"/>
      <c r="F14" s="280"/>
    </row>
    <row r="15" spans="2:6" x14ac:dyDescent="0.35">
      <c r="B15" s="278" t="s">
        <v>791</v>
      </c>
      <c r="C15" s="279"/>
      <c r="D15" s="279"/>
      <c r="E15" s="279"/>
      <c r="F15" s="280"/>
    </row>
    <row r="16" spans="2:6" x14ac:dyDescent="0.35">
      <c r="B16" s="219" t="s">
        <v>896</v>
      </c>
      <c r="C16" s="214"/>
      <c r="D16" s="214"/>
      <c r="E16" s="214"/>
      <c r="F16" s="215"/>
    </row>
    <row r="17" spans="2:6" x14ac:dyDescent="0.35">
      <c r="B17" s="94"/>
      <c r="C17" s="94"/>
      <c r="D17" s="95"/>
      <c r="E17" s="94"/>
      <c r="F17" s="96"/>
    </row>
    <row r="18" spans="2:6" x14ac:dyDescent="0.35">
      <c r="B18" s="94"/>
      <c r="C18" s="94"/>
      <c r="D18" s="95"/>
      <c r="E18" s="94"/>
      <c r="F18" s="96"/>
    </row>
    <row r="19" spans="2:6" x14ac:dyDescent="0.35">
      <c r="B19" s="222" t="s">
        <v>34</v>
      </c>
      <c r="C19" s="223"/>
      <c r="D19" s="257" t="s">
        <v>85</v>
      </c>
      <c r="E19" s="206" t="s">
        <v>783</v>
      </c>
      <c r="F19" s="225" t="s">
        <v>784</v>
      </c>
    </row>
    <row r="20" spans="2:6" x14ac:dyDescent="0.35">
      <c r="B20" s="268" t="s">
        <v>35</v>
      </c>
      <c r="C20" s="269"/>
      <c r="D20" s="257"/>
      <c r="E20" s="206"/>
      <c r="F20" s="225"/>
    </row>
    <row r="21" spans="2:6" x14ac:dyDescent="0.35">
      <c r="B21" s="103" t="s">
        <v>3</v>
      </c>
      <c r="C21" s="103" t="s">
        <v>40</v>
      </c>
      <c r="D21" s="53">
        <f>1/12</f>
        <v>8.3333333333333329E-2</v>
      </c>
      <c r="E21" s="104" t="s">
        <v>792</v>
      </c>
      <c r="F21" s="105" t="s">
        <v>793</v>
      </c>
    </row>
    <row r="22" spans="2:6" x14ac:dyDescent="0.35">
      <c r="B22" s="89" t="s">
        <v>5</v>
      </c>
      <c r="C22" s="89" t="s">
        <v>41</v>
      </c>
      <c r="D22" s="53">
        <f>(1/3)*(1/12)</f>
        <v>2.7777777777777776E-2</v>
      </c>
      <c r="E22" s="104" t="s">
        <v>794</v>
      </c>
      <c r="F22" s="105" t="s">
        <v>795</v>
      </c>
    </row>
    <row r="23" spans="2:6" x14ac:dyDescent="0.35">
      <c r="B23" s="267" t="s">
        <v>796</v>
      </c>
      <c r="C23" s="230"/>
      <c r="D23" s="230"/>
      <c r="E23" s="230"/>
      <c r="F23" s="231"/>
    </row>
    <row r="24" spans="2:6" x14ac:dyDescent="0.35">
      <c r="B24" s="213" t="s">
        <v>797</v>
      </c>
      <c r="C24" s="220"/>
      <c r="D24" s="220"/>
      <c r="E24" s="220"/>
      <c r="F24" s="221"/>
    </row>
    <row r="25" spans="2:6" x14ac:dyDescent="0.35">
      <c r="B25" s="106"/>
      <c r="C25" s="106"/>
      <c r="D25" s="106"/>
      <c r="E25" s="106"/>
      <c r="F25" s="107"/>
    </row>
    <row r="26" spans="2:6" x14ac:dyDescent="0.35">
      <c r="B26" s="94"/>
      <c r="C26" s="94"/>
      <c r="D26" s="95"/>
      <c r="E26" s="94"/>
      <c r="F26" s="96"/>
    </row>
    <row r="27" spans="2:6" x14ac:dyDescent="0.35">
      <c r="B27" s="222" t="s">
        <v>34</v>
      </c>
      <c r="C27" s="223"/>
      <c r="D27" s="257" t="s">
        <v>85</v>
      </c>
      <c r="E27" s="206" t="s">
        <v>783</v>
      </c>
      <c r="F27" s="225" t="s">
        <v>784</v>
      </c>
    </row>
    <row r="28" spans="2:6" x14ac:dyDescent="0.35">
      <c r="B28" s="226" t="s">
        <v>42</v>
      </c>
      <c r="C28" s="227"/>
      <c r="D28" s="257"/>
      <c r="E28" s="206"/>
      <c r="F28" s="225"/>
    </row>
    <row r="29" spans="2:6" ht="28" x14ac:dyDescent="0.35">
      <c r="B29" s="37" t="s">
        <v>3</v>
      </c>
      <c r="C29" s="37" t="s">
        <v>798</v>
      </c>
      <c r="D29" s="108">
        <v>0.2</v>
      </c>
      <c r="E29" s="109" t="s">
        <v>66</v>
      </c>
      <c r="F29" s="110" t="s">
        <v>799</v>
      </c>
    </row>
    <row r="30" spans="2:6" ht="42" x14ac:dyDescent="0.35">
      <c r="B30" s="37" t="s">
        <v>5</v>
      </c>
      <c r="C30" s="37" t="s">
        <v>47</v>
      </c>
      <c r="D30" s="108">
        <v>2.5000000000000001E-2</v>
      </c>
      <c r="E30" s="109" t="s">
        <v>66</v>
      </c>
      <c r="F30" s="110" t="s">
        <v>800</v>
      </c>
    </row>
    <row r="31" spans="2:6" ht="42" x14ac:dyDescent="0.35">
      <c r="B31" s="37" t="s">
        <v>7</v>
      </c>
      <c r="C31" s="111" t="s">
        <v>801</v>
      </c>
      <c r="D31" s="112" t="s">
        <v>66</v>
      </c>
      <c r="E31" s="113" t="s">
        <v>802</v>
      </c>
      <c r="F31" s="110" t="s">
        <v>803</v>
      </c>
    </row>
    <row r="32" spans="2:6" ht="28" x14ac:dyDescent="0.35">
      <c r="B32" s="37" t="s">
        <v>9</v>
      </c>
      <c r="C32" s="37" t="s">
        <v>49</v>
      </c>
      <c r="D32" s="108">
        <v>1.4999999999999999E-2</v>
      </c>
      <c r="E32" s="108" t="s">
        <v>66</v>
      </c>
      <c r="F32" s="110" t="s">
        <v>804</v>
      </c>
    </row>
    <row r="33" spans="2:6" x14ac:dyDescent="0.35">
      <c r="B33" s="37" t="s">
        <v>50</v>
      </c>
      <c r="C33" s="37" t="s">
        <v>51</v>
      </c>
      <c r="D33" s="108">
        <v>0.01</v>
      </c>
      <c r="E33" s="108" t="s">
        <v>66</v>
      </c>
      <c r="F33" s="110" t="s">
        <v>805</v>
      </c>
    </row>
    <row r="34" spans="2:6" x14ac:dyDescent="0.35">
      <c r="B34" s="37" t="s">
        <v>52</v>
      </c>
      <c r="C34" s="37" t="s">
        <v>53</v>
      </c>
      <c r="D34" s="108">
        <v>6.0000000000000001E-3</v>
      </c>
      <c r="E34" s="108" t="s">
        <v>66</v>
      </c>
      <c r="F34" s="110" t="s">
        <v>806</v>
      </c>
    </row>
    <row r="35" spans="2:6" ht="28" x14ac:dyDescent="0.35">
      <c r="B35" s="37" t="s">
        <v>54</v>
      </c>
      <c r="C35" s="37" t="s">
        <v>55</v>
      </c>
      <c r="D35" s="108">
        <v>2E-3</v>
      </c>
      <c r="E35" s="108" t="s">
        <v>66</v>
      </c>
      <c r="F35" s="110" t="s">
        <v>807</v>
      </c>
    </row>
    <row r="36" spans="2:6" x14ac:dyDescent="0.35">
      <c r="B36" s="37" t="s">
        <v>56</v>
      </c>
      <c r="C36" s="37" t="s">
        <v>57</v>
      </c>
      <c r="D36" s="108">
        <v>0.08</v>
      </c>
      <c r="E36" s="108" t="s">
        <v>66</v>
      </c>
      <c r="F36" s="110" t="s">
        <v>808</v>
      </c>
    </row>
    <row r="37" spans="2:6" ht="28" x14ac:dyDescent="0.35">
      <c r="B37" s="114" t="s">
        <v>17</v>
      </c>
      <c r="C37" s="114" t="s">
        <v>809</v>
      </c>
      <c r="D37" s="115" t="s">
        <v>66</v>
      </c>
      <c r="E37" s="115" t="s">
        <v>66</v>
      </c>
      <c r="F37" s="116" t="s">
        <v>810</v>
      </c>
    </row>
    <row r="38" spans="2:6" ht="21.5" customHeight="1" x14ac:dyDescent="0.35">
      <c r="B38" s="258" t="s">
        <v>811</v>
      </c>
      <c r="C38" s="259"/>
      <c r="D38" s="259"/>
      <c r="E38" s="259"/>
      <c r="F38" s="260"/>
    </row>
    <row r="39" spans="2:6" ht="32" customHeight="1" x14ac:dyDescent="0.35">
      <c r="B39" s="261" t="s">
        <v>812</v>
      </c>
      <c r="C39" s="262"/>
      <c r="D39" s="262"/>
      <c r="E39" s="262"/>
      <c r="F39" s="263"/>
    </row>
    <row r="40" spans="2:6" ht="64" customHeight="1" x14ac:dyDescent="0.35">
      <c r="B40" s="261" t="s">
        <v>813</v>
      </c>
      <c r="C40" s="262"/>
      <c r="D40" s="262"/>
      <c r="E40" s="262"/>
      <c r="F40" s="263"/>
    </row>
    <row r="41" spans="2:6" ht="37.5" customHeight="1" x14ac:dyDescent="0.35">
      <c r="B41" s="261" t="s">
        <v>814</v>
      </c>
      <c r="C41" s="262"/>
      <c r="D41" s="262"/>
      <c r="E41" s="262"/>
      <c r="F41" s="263"/>
    </row>
    <row r="42" spans="2:6" ht="37.5" customHeight="1" x14ac:dyDescent="0.35">
      <c r="B42" s="261" t="s">
        <v>815</v>
      </c>
      <c r="C42" s="262"/>
      <c r="D42" s="262"/>
      <c r="E42" s="262"/>
      <c r="F42" s="263"/>
    </row>
    <row r="43" spans="2:6" ht="107.5" customHeight="1" x14ac:dyDescent="0.35">
      <c r="B43" s="264" t="s">
        <v>816</v>
      </c>
      <c r="C43" s="265"/>
      <c r="D43" s="265"/>
      <c r="E43" s="265"/>
      <c r="F43" s="266"/>
    </row>
    <row r="44" spans="2:6" x14ac:dyDescent="0.35">
      <c r="B44" s="94"/>
      <c r="C44" s="94"/>
      <c r="D44" s="95"/>
      <c r="E44" s="94"/>
      <c r="F44" s="96"/>
    </row>
    <row r="45" spans="2:6" x14ac:dyDescent="0.35">
      <c r="B45" s="94"/>
      <c r="C45" s="94"/>
      <c r="D45" s="95"/>
      <c r="E45" s="94"/>
      <c r="F45" s="96"/>
    </row>
    <row r="46" spans="2:6" x14ac:dyDescent="0.35">
      <c r="B46" s="222" t="s">
        <v>34</v>
      </c>
      <c r="C46" s="223"/>
      <c r="D46" s="257" t="s">
        <v>85</v>
      </c>
      <c r="E46" s="206" t="s">
        <v>783</v>
      </c>
      <c r="F46" s="225" t="s">
        <v>784</v>
      </c>
    </row>
    <row r="47" spans="2:6" x14ac:dyDescent="0.35">
      <c r="B47" s="226" t="s">
        <v>817</v>
      </c>
      <c r="C47" s="227"/>
      <c r="D47" s="257"/>
      <c r="E47" s="206"/>
      <c r="F47" s="225"/>
    </row>
    <row r="48" spans="2:6" x14ac:dyDescent="0.35">
      <c r="B48" s="89" t="s">
        <v>3</v>
      </c>
      <c r="C48" s="117" t="s">
        <v>63</v>
      </c>
      <c r="D48" s="53" t="s">
        <v>66</v>
      </c>
      <c r="E48" s="89" t="s">
        <v>66</v>
      </c>
      <c r="F48" s="118" t="s">
        <v>818</v>
      </c>
    </row>
    <row r="49" spans="2:6" x14ac:dyDescent="0.35">
      <c r="B49" s="89" t="s">
        <v>5</v>
      </c>
      <c r="C49" s="117" t="s">
        <v>64</v>
      </c>
      <c r="D49" s="53" t="s">
        <v>66</v>
      </c>
      <c r="E49" s="89" t="s">
        <v>66</v>
      </c>
      <c r="F49" s="119" t="s">
        <v>819</v>
      </c>
    </row>
    <row r="50" spans="2:6" x14ac:dyDescent="0.35">
      <c r="B50" s="89" t="s">
        <v>7</v>
      </c>
      <c r="C50" s="117" t="s">
        <v>65</v>
      </c>
      <c r="D50" s="53" t="s">
        <v>66</v>
      </c>
      <c r="E50" s="89" t="s">
        <v>66</v>
      </c>
      <c r="F50" s="37" t="s">
        <v>66</v>
      </c>
    </row>
    <row r="51" spans="2:6" x14ac:dyDescent="0.35">
      <c r="B51" s="89" t="s">
        <v>9</v>
      </c>
      <c r="C51" s="117" t="s">
        <v>67</v>
      </c>
      <c r="D51" s="53" t="s">
        <v>66</v>
      </c>
      <c r="E51" s="89" t="s">
        <v>66</v>
      </c>
      <c r="F51" s="37" t="s">
        <v>66</v>
      </c>
    </row>
    <row r="52" spans="2:6" x14ac:dyDescent="0.35">
      <c r="B52" s="89" t="s">
        <v>50</v>
      </c>
      <c r="C52" s="117" t="s">
        <v>820</v>
      </c>
      <c r="D52" s="53" t="s">
        <v>66</v>
      </c>
      <c r="E52" s="89" t="s">
        <v>66</v>
      </c>
      <c r="F52" s="37" t="s">
        <v>66</v>
      </c>
    </row>
    <row r="53" spans="2:6" x14ac:dyDescent="0.35">
      <c r="B53" s="89" t="s">
        <v>52</v>
      </c>
      <c r="C53" s="117" t="s">
        <v>821</v>
      </c>
      <c r="D53" s="53" t="s">
        <v>66</v>
      </c>
      <c r="E53" s="89" t="s">
        <v>66</v>
      </c>
      <c r="F53" s="37" t="s">
        <v>66</v>
      </c>
    </row>
    <row r="54" spans="2:6" x14ac:dyDescent="0.35">
      <c r="B54" s="89" t="s">
        <v>54</v>
      </c>
      <c r="C54" s="117" t="s">
        <v>68</v>
      </c>
      <c r="D54" s="53" t="s">
        <v>66</v>
      </c>
      <c r="E54" s="89" t="s">
        <v>66</v>
      </c>
      <c r="F54" s="37" t="s">
        <v>66</v>
      </c>
    </row>
    <row r="55" spans="2:6" x14ac:dyDescent="0.35">
      <c r="B55" s="89" t="s">
        <v>56</v>
      </c>
      <c r="C55" s="117" t="s">
        <v>822</v>
      </c>
      <c r="D55" s="53" t="s">
        <v>66</v>
      </c>
      <c r="E55" s="89" t="s">
        <v>66</v>
      </c>
      <c r="F55" s="37" t="s">
        <v>66</v>
      </c>
    </row>
    <row r="56" spans="2:6" x14ac:dyDescent="0.35">
      <c r="B56" s="89" t="s">
        <v>17</v>
      </c>
      <c r="C56" s="34" t="s">
        <v>32</v>
      </c>
      <c r="D56" s="53" t="s">
        <v>66</v>
      </c>
      <c r="E56" s="89" t="s">
        <v>66</v>
      </c>
      <c r="F56" s="37" t="s">
        <v>66</v>
      </c>
    </row>
    <row r="57" spans="2:6" ht="19" customHeight="1" x14ac:dyDescent="0.35">
      <c r="B57" s="207" t="s">
        <v>823</v>
      </c>
      <c r="C57" s="208"/>
      <c r="D57" s="208"/>
      <c r="E57" s="208"/>
      <c r="F57" s="209"/>
    </row>
    <row r="58" spans="2:6" ht="51" customHeight="1" x14ac:dyDescent="0.35">
      <c r="B58" s="183" t="s">
        <v>824</v>
      </c>
      <c r="C58" s="184"/>
      <c r="D58" s="184"/>
      <c r="E58" s="184"/>
      <c r="F58" s="185"/>
    </row>
    <row r="59" spans="2:6" x14ac:dyDescent="0.35">
      <c r="B59" s="183" t="s">
        <v>897</v>
      </c>
      <c r="C59" s="184"/>
      <c r="D59" s="184"/>
      <c r="E59" s="184"/>
      <c r="F59" s="185"/>
    </row>
    <row r="60" spans="2:6" ht="38.5" customHeight="1" x14ac:dyDescent="0.35">
      <c r="B60" s="183" t="s">
        <v>898</v>
      </c>
      <c r="C60" s="184"/>
      <c r="D60" s="184"/>
      <c r="E60" s="184"/>
      <c r="F60" s="185"/>
    </row>
    <row r="61" spans="2:6" ht="29" customHeight="1" x14ac:dyDescent="0.35">
      <c r="B61" s="252" t="s">
        <v>825</v>
      </c>
      <c r="C61" s="253"/>
      <c r="D61" s="253"/>
      <c r="E61" s="253"/>
      <c r="F61" s="254"/>
    </row>
    <row r="62" spans="2:6" x14ac:dyDescent="0.35">
      <c r="B62" s="94"/>
      <c r="C62" s="94"/>
      <c r="D62" s="95"/>
      <c r="E62" s="94"/>
      <c r="F62" s="96"/>
    </row>
    <row r="63" spans="2:6" x14ac:dyDescent="0.35">
      <c r="B63" s="94"/>
      <c r="C63" s="94"/>
      <c r="D63" s="95"/>
      <c r="E63" s="94"/>
      <c r="F63" s="96"/>
    </row>
    <row r="64" spans="2:6" x14ac:dyDescent="0.35">
      <c r="B64" s="255" t="s">
        <v>71</v>
      </c>
      <c r="C64" s="256"/>
      <c r="D64" s="97" t="s">
        <v>85</v>
      </c>
      <c r="E64" s="98" t="s">
        <v>783</v>
      </c>
      <c r="F64" s="99" t="s">
        <v>784</v>
      </c>
    </row>
    <row r="65" spans="2:6" x14ac:dyDescent="0.35">
      <c r="B65" s="37" t="s">
        <v>3</v>
      </c>
      <c r="C65" s="34" t="s">
        <v>74</v>
      </c>
      <c r="D65" s="53">
        <f>0.05*(1/12)</f>
        <v>4.1666666666666666E-3</v>
      </c>
      <c r="E65" s="120" t="s">
        <v>826</v>
      </c>
      <c r="F65" s="121" t="s">
        <v>827</v>
      </c>
    </row>
    <row r="66" spans="2:6" x14ac:dyDescent="0.35">
      <c r="B66" s="37" t="s">
        <v>5</v>
      </c>
      <c r="C66" s="34" t="s">
        <v>75</v>
      </c>
      <c r="D66" s="53">
        <f>(0.08*0.0042)</f>
        <v>3.3599999999999998E-4</v>
      </c>
      <c r="E66" s="120" t="s">
        <v>828</v>
      </c>
      <c r="F66" s="121" t="s">
        <v>829</v>
      </c>
    </row>
    <row r="67" spans="2:6" ht="28" x14ac:dyDescent="0.35">
      <c r="B67" s="37" t="s">
        <v>7</v>
      </c>
      <c r="C67" s="34" t="s">
        <v>830</v>
      </c>
      <c r="D67" s="53">
        <f>0.08*0.4* 0.9*(1 + 1/12 + 1/12 + (1/3*1/12))</f>
        <v>3.4399999999999993E-2</v>
      </c>
      <c r="E67" s="122" t="s">
        <v>831</v>
      </c>
      <c r="F67" s="121" t="s">
        <v>832</v>
      </c>
    </row>
    <row r="68" spans="2:6" ht="28" x14ac:dyDescent="0.35">
      <c r="B68" s="37" t="s">
        <v>9</v>
      </c>
      <c r="C68" s="34" t="s">
        <v>77</v>
      </c>
      <c r="D68" s="53">
        <f>((7/30) + (7/30*0.1))/ 24</f>
        <v>1.0694444444444444E-2</v>
      </c>
      <c r="E68" s="120" t="s">
        <v>833</v>
      </c>
      <c r="F68" s="121" t="s">
        <v>834</v>
      </c>
    </row>
    <row r="69" spans="2:6" x14ac:dyDescent="0.35">
      <c r="B69" s="114" t="s">
        <v>835</v>
      </c>
      <c r="C69" s="123" t="s">
        <v>836</v>
      </c>
      <c r="D69" s="124">
        <f>(7/30)*0.1/12</f>
        <v>1.9444444444444446E-3</v>
      </c>
      <c r="E69" s="125" t="s">
        <v>837</v>
      </c>
      <c r="F69" s="126" t="s">
        <v>838</v>
      </c>
    </row>
    <row r="70" spans="2:6" x14ac:dyDescent="0.35">
      <c r="B70" s="37" t="s">
        <v>50</v>
      </c>
      <c r="C70" s="34" t="s">
        <v>78</v>
      </c>
      <c r="D70" s="53">
        <f>(0.368* 0.0107)</f>
        <v>3.9375999999999994E-3</v>
      </c>
      <c r="E70" s="120" t="s">
        <v>839</v>
      </c>
      <c r="F70" s="121" t="s">
        <v>840</v>
      </c>
    </row>
    <row r="71" spans="2:6" ht="28" x14ac:dyDescent="0.35">
      <c r="B71" s="114" t="s">
        <v>841</v>
      </c>
      <c r="C71" s="123" t="s">
        <v>842</v>
      </c>
      <c r="D71" s="127">
        <f>(0.368*0.00194)</f>
        <v>7.1392000000000005E-4</v>
      </c>
      <c r="E71" s="125" t="s">
        <v>843</v>
      </c>
      <c r="F71" s="126" t="s">
        <v>838</v>
      </c>
    </row>
    <row r="72" spans="2:6" ht="28" x14ac:dyDescent="0.35">
      <c r="B72" s="37" t="s">
        <v>52</v>
      </c>
      <c r="C72" s="34" t="s">
        <v>79</v>
      </c>
      <c r="D72" s="128">
        <f>(0.0107*0.08)*0.4</f>
        <v>3.4240000000000003E-4</v>
      </c>
      <c r="E72" s="120" t="s">
        <v>844</v>
      </c>
      <c r="F72" s="121" t="s">
        <v>845</v>
      </c>
    </row>
    <row r="73" spans="2:6" x14ac:dyDescent="0.35">
      <c r="B73" s="114" t="s">
        <v>846</v>
      </c>
      <c r="C73" s="123" t="s">
        <v>847</v>
      </c>
      <c r="D73" s="124">
        <f>(0.00194*0.08)*0.4</f>
        <v>6.2080000000000002E-5</v>
      </c>
      <c r="E73" s="129" t="s">
        <v>848</v>
      </c>
      <c r="F73" s="126" t="s">
        <v>838</v>
      </c>
    </row>
    <row r="74" spans="2:6" ht="20.5" customHeight="1" x14ac:dyDescent="0.35">
      <c r="B74" s="240" t="s">
        <v>849</v>
      </c>
      <c r="C74" s="241"/>
      <c r="D74" s="241"/>
      <c r="E74" s="241"/>
      <c r="F74" s="242"/>
    </row>
    <row r="75" spans="2:6" ht="35" customHeight="1" x14ac:dyDescent="0.35">
      <c r="B75" s="243" t="s">
        <v>850</v>
      </c>
      <c r="C75" s="244"/>
      <c r="D75" s="244"/>
      <c r="E75" s="244"/>
      <c r="F75" s="245"/>
    </row>
    <row r="76" spans="2:6" ht="32" customHeight="1" x14ac:dyDescent="0.35">
      <c r="B76" s="243" t="s">
        <v>851</v>
      </c>
      <c r="C76" s="244"/>
      <c r="D76" s="244"/>
      <c r="E76" s="244"/>
      <c r="F76" s="245"/>
    </row>
    <row r="77" spans="2:6" ht="22" customHeight="1" x14ac:dyDescent="0.35">
      <c r="B77" s="246" t="s">
        <v>852</v>
      </c>
      <c r="C77" s="247"/>
      <c r="D77" s="247"/>
      <c r="E77" s="247"/>
      <c r="F77" s="248"/>
    </row>
    <row r="78" spans="2:6" ht="36.5" customHeight="1" x14ac:dyDescent="0.35">
      <c r="B78" s="243" t="s">
        <v>853</v>
      </c>
      <c r="C78" s="244"/>
      <c r="D78" s="244"/>
      <c r="E78" s="244"/>
      <c r="F78" s="245"/>
    </row>
    <row r="79" spans="2:6" ht="20.5" customHeight="1" x14ac:dyDescent="0.35">
      <c r="B79" s="249" t="s">
        <v>854</v>
      </c>
      <c r="C79" s="250"/>
      <c r="D79" s="250"/>
      <c r="E79" s="250"/>
      <c r="F79" s="251"/>
    </row>
    <row r="80" spans="2:6" x14ac:dyDescent="0.35">
      <c r="B80" s="94"/>
      <c r="C80" s="94"/>
      <c r="D80" s="95"/>
      <c r="E80" s="94"/>
      <c r="F80" s="96"/>
    </row>
    <row r="81" spans="2:6" x14ac:dyDescent="0.35">
      <c r="B81" s="94"/>
      <c r="C81" s="94"/>
      <c r="D81" s="95"/>
      <c r="E81" s="94"/>
      <c r="F81" s="96"/>
    </row>
    <row r="82" spans="2:6" x14ac:dyDescent="0.35">
      <c r="B82" s="222" t="s">
        <v>80</v>
      </c>
      <c r="C82" s="223"/>
      <c r="D82" s="232" t="s">
        <v>85</v>
      </c>
      <c r="E82" s="234" t="s">
        <v>783</v>
      </c>
      <c r="F82" s="236" t="s">
        <v>784</v>
      </c>
    </row>
    <row r="83" spans="2:6" x14ac:dyDescent="0.35">
      <c r="B83" s="226" t="s">
        <v>81</v>
      </c>
      <c r="C83" s="227"/>
      <c r="D83" s="233"/>
      <c r="E83" s="235"/>
      <c r="F83" s="237"/>
    </row>
    <row r="84" spans="2:6" x14ac:dyDescent="0.35">
      <c r="B84" s="37" t="s">
        <v>3</v>
      </c>
      <c r="C84" s="31" t="s">
        <v>86</v>
      </c>
      <c r="D84" s="130">
        <f>1/12</f>
        <v>8.3333333333333329E-2</v>
      </c>
      <c r="E84" s="131" t="s">
        <v>855</v>
      </c>
      <c r="F84" s="132" t="s">
        <v>856</v>
      </c>
    </row>
    <row r="85" spans="2:6" x14ac:dyDescent="0.35">
      <c r="B85" s="37" t="s">
        <v>5</v>
      </c>
      <c r="C85" s="31" t="s">
        <v>87</v>
      </c>
      <c r="D85" s="130">
        <f>(1/30)/12</f>
        <v>2.7777777777777779E-3</v>
      </c>
      <c r="E85" s="133" t="s">
        <v>857</v>
      </c>
      <c r="F85" s="118" t="s">
        <v>858</v>
      </c>
    </row>
    <row r="86" spans="2:6" x14ac:dyDescent="0.35">
      <c r="B86" s="37" t="s">
        <v>7</v>
      </c>
      <c r="C86" s="31" t="s">
        <v>88</v>
      </c>
      <c r="D86" s="130">
        <f>(5/30)/12*0.015</f>
        <v>2.0833333333333332E-4</v>
      </c>
      <c r="E86" s="133" t="s">
        <v>859</v>
      </c>
      <c r="F86" s="117" t="s">
        <v>860</v>
      </c>
    </row>
    <row r="87" spans="2:6" x14ac:dyDescent="0.35">
      <c r="B87" s="37" t="s">
        <v>9</v>
      </c>
      <c r="C87" s="31" t="s">
        <v>89</v>
      </c>
      <c r="D87" s="130">
        <f>1/12*0.0078</f>
        <v>6.4999999999999997E-4</v>
      </c>
      <c r="E87" s="133" t="s">
        <v>861</v>
      </c>
      <c r="F87" s="118" t="s">
        <v>862</v>
      </c>
    </row>
    <row r="88" spans="2:6" x14ac:dyDescent="0.35">
      <c r="B88" s="37" t="s">
        <v>50</v>
      </c>
      <c r="C88" s="31" t="s">
        <v>90</v>
      </c>
      <c r="D88" s="130">
        <f>((1/12)+(1/3*1/12))*0.02607*6/12</f>
        <v>1.4483333333333334E-3</v>
      </c>
      <c r="E88" s="134" t="s">
        <v>863</v>
      </c>
      <c r="F88" s="110" t="s">
        <v>864</v>
      </c>
    </row>
    <row r="89" spans="2:6" ht="28" x14ac:dyDescent="0.35">
      <c r="B89" s="37" t="s">
        <v>52</v>
      </c>
      <c r="C89" s="31" t="s">
        <v>91</v>
      </c>
      <c r="D89" s="130">
        <f>(5/30/12)</f>
        <v>1.3888888888888888E-2</v>
      </c>
      <c r="E89" s="133" t="s">
        <v>865</v>
      </c>
      <c r="F89" s="117" t="s">
        <v>866</v>
      </c>
    </row>
    <row r="90" spans="2:6" x14ac:dyDescent="0.35">
      <c r="B90" s="238" t="s">
        <v>92</v>
      </c>
      <c r="C90" s="239"/>
      <c r="D90" s="135">
        <f>SUM(D84:E89)</f>
        <v>0.10230666666666666</v>
      </c>
      <c r="E90" s="89" t="s">
        <v>66</v>
      </c>
      <c r="F90" s="37" t="s">
        <v>66</v>
      </c>
    </row>
    <row r="91" spans="2:6" x14ac:dyDescent="0.35">
      <c r="B91" s="136" t="s">
        <v>54</v>
      </c>
      <c r="C91" s="137" t="s">
        <v>93</v>
      </c>
      <c r="D91" s="138">
        <f>(D90-D88)*(2/12+(1/3*1/12))</f>
        <v>1.961134259259259E-2</v>
      </c>
      <c r="E91" s="139" t="str">
        <f>"("&amp;TEXT(D90,"0,0000")&amp;" - "&amp;TEXT(D83,"0,0000")&amp;") x [1/12+1/12+(1/12 x 1/3)] x 100 ≅ "&amp;TEXT(D91,"0,00%")</f>
        <v>(0,1023 - 0,0000) x [1/12+1/12+(1/12 x 1/3)] x 100 ≅ 1,96%</v>
      </c>
      <c r="F91" s="140" t="s">
        <v>66</v>
      </c>
    </row>
    <row r="92" spans="2:6" x14ac:dyDescent="0.35">
      <c r="B92" s="228" t="s">
        <v>94</v>
      </c>
      <c r="C92" s="228"/>
      <c r="D92" s="141">
        <f>SUM(D90:E91)</f>
        <v>0.12191800925925925</v>
      </c>
      <c r="E92" s="89" t="s">
        <v>66</v>
      </c>
      <c r="F92" s="37" t="s">
        <v>66</v>
      </c>
    </row>
    <row r="93" spans="2:6" x14ac:dyDescent="0.35">
      <c r="B93" s="37" t="s">
        <v>56</v>
      </c>
      <c r="C93" s="137" t="s">
        <v>95</v>
      </c>
      <c r="D93" s="138" t="s">
        <v>66</v>
      </c>
      <c r="E93" s="89" t="s">
        <v>66</v>
      </c>
      <c r="F93" s="37" t="s">
        <v>66</v>
      </c>
    </row>
    <row r="94" spans="2:6" ht="20" customHeight="1" x14ac:dyDescent="0.35">
      <c r="B94" s="229" t="s">
        <v>867</v>
      </c>
      <c r="C94" s="230"/>
      <c r="D94" s="230"/>
      <c r="E94" s="230"/>
      <c r="F94" s="231"/>
    </row>
    <row r="95" spans="2:6" ht="33.5" customHeight="1" x14ac:dyDescent="0.35">
      <c r="B95" s="200" t="s">
        <v>868</v>
      </c>
      <c r="C95" s="201"/>
      <c r="D95" s="201"/>
      <c r="E95" s="201"/>
      <c r="F95" s="202"/>
    </row>
    <row r="96" spans="2:6" x14ac:dyDescent="0.35">
      <c r="B96" s="210" t="s">
        <v>869</v>
      </c>
      <c r="C96" s="211"/>
      <c r="D96" s="211"/>
      <c r="E96" s="211"/>
      <c r="F96" s="212"/>
    </row>
    <row r="97" spans="2:6" ht="20" customHeight="1" x14ac:dyDescent="0.35">
      <c r="B97" s="210" t="s">
        <v>870</v>
      </c>
      <c r="C97" s="211"/>
      <c r="D97" s="211"/>
      <c r="E97" s="211"/>
      <c r="F97" s="212"/>
    </row>
    <row r="98" spans="2:6" ht="20.5" customHeight="1" x14ac:dyDescent="0.35">
      <c r="B98" s="210" t="s">
        <v>871</v>
      </c>
      <c r="C98" s="211"/>
      <c r="D98" s="211"/>
      <c r="E98" s="211"/>
      <c r="F98" s="212"/>
    </row>
    <row r="99" spans="2:6" ht="20.5" customHeight="1" x14ac:dyDescent="0.35">
      <c r="B99" s="210" t="s">
        <v>872</v>
      </c>
      <c r="C99" s="211"/>
      <c r="D99" s="211"/>
      <c r="E99" s="211"/>
      <c r="F99" s="212"/>
    </row>
    <row r="100" spans="2:6" ht="17.5" customHeight="1" x14ac:dyDescent="0.35">
      <c r="B100" s="216" t="s">
        <v>873</v>
      </c>
      <c r="C100" s="217"/>
      <c r="D100" s="217"/>
      <c r="E100" s="217"/>
      <c r="F100" s="218"/>
    </row>
    <row r="101" spans="2:6" ht="30.5" customHeight="1" x14ac:dyDescent="0.35">
      <c r="B101" s="219" t="s">
        <v>874</v>
      </c>
      <c r="C101" s="220"/>
      <c r="D101" s="220"/>
      <c r="E101" s="220"/>
      <c r="F101" s="221"/>
    </row>
    <row r="102" spans="2:6" x14ac:dyDescent="0.35">
      <c r="B102" s="94"/>
      <c r="C102" s="94"/>
      <c r="D102" s="95"/>
      <c r="E102" s="94"/>
      <c r="F102" s="96"/>
    </row>
    <row r="103" spans="2:6" x14ac:dyDescent="0.35">
      <c r="B103" s="94"/>
      <c r="C103" s="94"/>
      <c r="D103" s="95"/>
      <c r="E103" s="94"/>
      <c r="F103" s="96"/>
    </row>
    <row r="104" spans="2:6" x14ac:dyDescent="0.35">
      <c r="B104" s="222" t="s">
        <v>80</v>
      </c>
      <c r="C104" s="223"/>
      <c r="D104" s="224" t="s">
        <v>85</v>
      </c>
      <c r="E104" s="206" t="s">
        <v>783</v>
      </c>
      <c r="F104" s="225" t="s">
        <v>784</v>
      </c>
    </row>
    <row r="105" spans="2:6" x14ac:dyDescent="0.35">
      <c r="B105" s="226" t="s">
        <v>96</v>
      </c>
      <c r="C105" s="227"/>
      <c r="D105" s="224"/>
      <c r="E105" s="206"/>
      <c r="F105" s="225"/>
    </row>
    <row r="106" spans="2:6" x14ac:dyDescent="0.35">
      <c r="B106" s="142" t="s">
        <v>3</v>
      </c>
      <c r="C106" s="143" t="s">
        <v>99</v>
      </c>
      <c r="D106" s="53" t="s">
        <v>66</v>
      </c>
      <c r="E106" s="89" t="s">
        <v>66</v>
      </c>
      <c r="F106" s="37" t="s">
        <v>66</v>
      </c>
    </row>
    <row r="107" spans="2:6" x14ac:dyDescent="0.35">
      <c r="B107" s="203" t="s">
        <v>875</v>
      </c>
      <c r="C107" s="204"/>
      <c r="D107" s="204"/>
      <c r="E107" s="204"/>
      <c r="F107" s="205"/>
    </row>
    <row r="108" spans="2:6" x14ac:dyDescent="0.35">
      <c r="B108" s="94"/>
      <c r="C108" s="94"/>
      <c r="D108" s="95"/>
      <c r="E108" s="94"/>
      <c r="F108" s="96"/>
    </row>
    <row r="109" spans="2:6" x14ac:dyDescent="0.35">
      <c r="B109" s="94"/>
      <c r="C109" s="94"/>
      <c r="D109" s="95"/>
      <c r="E109" s="94"/>
      <c r="F109" s="96"/>
    </row>
    <row r="110" spans="2:6" x14ac:dyDescent="0.35">
      <c r="B110" s="206" t="s">
        <v>876</v>
      </c>
      <c r="C110" s="206"/>
      <c r="D110" s="97" t="s">
        <v>85</v>
      </c>
      <c r="E110" s="98" t="s">
        <v>783</v>
      </c>
      <c r="F110" s="99" t="s">
        <v>784</v>
      </c>
    </row>
    <row r="111" spans="2:6" x14ac:dyDescent="0.35">
      <c r="B111" s="89" t="s">
        <v>3</v>
      </c>
      <c r="C111" s="89" t="s">
        <v>877</v>
      </c>
      <c r="D111" s="53" t="s">
        <v>66</v>
      </c>
      <c r="E111" s="89" t="s">
        <v>66</v>
      </c>
      <c r="F111" s="89" t="s">
        <v>66</v>
      </c>
    </row>
    <row r="112" spans="2:6" x14ac:dyDescent="0.35">
      <c r="B112" s="100" t="s">
        <v>5</v>
      </c>
      <c r="C112" s="100" t="s">
        <v>878</v>
      </c>
      <c r="D112" s="101" t="s">
        <v>66</v>
      </c>
      <c r="E112" s="100" t="s">
        <v>66</v>
      </c>
      <c r="F112" s="100" t="s">
        <v>879</v>
      </c>
    </row>
    <row r="113" spans="2:6" ht="16" customHeight="1" x14ac:dyDescent="0.35">
      <c r="B113" s="207" t="s">
        <v>880</v>
      </c>
      <c r="C113" s="208"/>
      <c r="D113" s="208"/>
      <c r="E113" s="208"/>
      <c r="F113" s="209"/>
    </row>
    <row r="114" spans="2:6" ht="16" customHeight="1" x14ac:dyDescent="0.35">
      <c r="B114" s="210" t="s">
        <v>899</v>
      </c>
      <c r="C114" s="211"/>
      <c r="D114" s="211"/>
      <c r="E114" s="211"/>
      <c r="F114" s="212"/>
    </row>
    <row r="115" spans="2:6" ht="29.5" customHeight="1" x14ac:dyDescent="0.35">
      <c r="B115" s="213" t="s">
        <v>881</v>
      </c>
      <c r="C115" s="214"/>
      <c r="D115" s="214"/>
      <c r="E115" s="214"/>
      <c r="F115" s="215"/>
    </row>
    <row r="116" spans="2:6" x14ac:dyDescent="0.35">
      <c r="B116" s="94"/>
      <c r="C116" s="94"/>
      <c r="D116" s="95"/>
      <c r="E116" s="94"/>
      <c r="F116" s="96"/>
    </row>
    <row r="117" spans="2:6" x14ac:dyDescent="0.35">
      <c r="B117" s="94"/>
      <c r="C117" s="94"/>
      <c r="D117" s="95"/>
      <c r="E117" s="94"/>
      <c r="F117" s="96"/>
    </row>
    <row r="118" spans="2:6" x14ac:dyDescent="0.35">
      <c r="B118" s="206" t="s">
        <v>107</v>
      </c>
      <c r="C118" s="206"/>
      <c r="D118" s="97" t="s">
        <v>85</v>
      </c>
      <c r="E118" s="98" t="s">
        <v>783</v>
      </c>
      <c r="F118" s="99" t="s">
        <v>784</v>
      </c>
    </row>
    <row r="119" spans="2:6" x14ac:dyDescent="0.35">
      <c r="B119" s="113" t="s">
        <v>3</v>
      </c>
      <c r="C119" s="117" t="s">
        <v>112</v>
      </c>
      <c r="D119" s="53" t="s">
        <v>66</v>
      </c>
      <c r="E119" s="144" t="s">
        <v>882</v>
      </c>
      <c r="F119" s="37" t="s">
        <v>66</v>
      </c>
    </row>
    <row r="120" spans="2:6" x14ac:dyDescent="0.35">
      <c r="B120" s="113" t="s">
        <v>5</v>
      </c>
      <c r="C120" s="117" t="s">
        <v>113</v>
      </c>
      <c r="D120" s="53" t="s">
        <v>66</v>
      </c>
      <c r="E120" s="144" t="s">
        <v>883</v>
      </c>
      <c r="F120" s="37" t="s">
        <v>66</v>
      </c>
    </row>
    <row r="121" spans="2:6" ht="28" x14ac:dyDescent="0.35">
      <c r="B121" s="113" t="s">
        <v>7</v>
      </c>
      <c r="C121" s="117" t="s">
        <v>114</v>
      </c>
      <c r="D121" s="145" t="s">
        <v>66</v>
      </c>
      <c r="E121" s="31" t="s">
        <v>884</v>
      </c>
      <c r="F121" s="37"/>
    </row>
    <row r="122" spans="2:6" x14ac:dyDescent="0.35">
      <c r="B122" s="146" t="s">
        <v>115</v>
      </c>
      <c r="C122" s="147" t="s">
        <v>885</v>
      </c>
      <c r="D122" s="148" t="s">
        <v>66</v>
      </c>
      <c r="E122" s="89" t="s">
        <v>66</v>
      </c>
      <c r="F122" s="37"/>
    </row>
    <row r="123" spans="2:6" x14ac:dyDescent="0.35">
      <c r="B123" s="146" t="s">
        <v>116</v>
      </c>
      <c r="C123" s="147" t="s">
        <v>886</v>
      </c>
      <c r="D123" s="148" t="s">
        <v>66</v>
      </c>
      <c r="E123" s="89" t="s">
        <v>66</v>
      </c>
      <c r="F123" s="37"/>
    </row>
    <row r="124" spans="2:6" x14ac:dyDescent="0.35">
      <c r="B124" s="149" t="s">
        <v>117</v>
      </c>
      <c r="C124" s="150" t="s">
        <v>118</v>
      </c>
      <c r="D124" s="151" t="s">
        <v>66</v>
      </c>
      <c r="E124" s="100" t="s">
        <v>66</v>
      </c>
      <c r="F124" s="102"/>
    </row>
    <row r="125" spans="2:6" ht="19" customHeight="1" x14ac:dyDescent="0.35">
      <c r="B125" s="191" t="s">
        <v>887</v>
      </c>
      <c r="C125" s="192"/>
      <c r="D125" s="192"/>
      <c r="E125" s="192"/>
      <c r="F125" s="193"/>
    </row>
    <row r="126" spans="2:6" ht="20" customHeight="1" x14ac:dyDescent="0.35">
      <c r="B126" s="194" t="s">
        <v>888</v>
      </c>
      <c r="C126" s="195"/>
      <c r="D126" s="195"/>
      <c r="E126" s="195"/>
      <c r="F126" s="196"/>
    </row>
    <row r="127" spans="2:6" ht="19" customHeight="1" x14ac:dyDescent="0.35">
      <c r="B127" s="197" t="s">
        <v>889</v>
      </c>
      <c r="C127" s="198"/>
      <c r="D127" s="198"/>
      <c r="E127" s="198"/>
      <c r="F127" s="199"/>
    </row>
    <row r="128" spans="2:6" ht="19" customHeight="1" x14ac:dyDescent="0.35">
      <c r="B128" s="183" t="s">
        <v>890</v>
      </c>
      <c r="C128" s="198"/>
      <c r="D128" s="198"/>
      <c r="E128" s="198"/>
      <c r="F128" s="199"/>
    </row>
    <row r="129" spans="2:6" ht="48" customHeight="1" x14ac:dyDescent="0.35">
      <c r="B129" s="183" t="s">
        <v>891</v>
      </c>
      <c r="C129" s="198"/>
      <c r="D129" s="198"/>
      <c r="E129" s="198"/>
      <c r="F129" s="199"/>
    </row>
    <row r="130" spans="2:6" ht="32" customHeight="1" x14ac:dyDescent="0.35">
      <c r="B130" s="200" t="s">
        <v>892</v>
      </c>
      <c r="C130" s="201"/>
      <c r="D130" s="201"/>
      <c r="E130" s="201"/>
      <c r="F130" s="202"/>
    </row>
    <row r="131" spans="2:6" ht="34" customHeight="1" x14ac:dyDescent="0.35">
      <c r="B131" s="180" t="s">
        <v>893</v>
      </c>
      <c r="C131" s="181"/>
      <c r="D131" s="181"/>
      <c r="E131" s="181"/>
      <c r="F131" s="182"/>
    </row>
  </sheetData>
  <sheetProtection algorithmName="SHA-512" hashValue="BLcrAp1kqzxYexXgx7J6l7VHrhpYnFF/TL3W3lZOdTBHsdt9OJ+zC2AJHnpmmIVlHfQ5bRLzYyM0L2WzLhTVXg==" saltValue="GLmU+8p68y6lrLPaoch4dQ==" spinCount="100000" sheet="1" objects="1" scenarios="1"/>
  <mergeCells count="78">
    <mergeCell ref="B15:F15"/>
    <mergeCell ref="B1:F1"/>
    <mergeCell ref="B2:F2"/>
    <mergeCell ref="B8:C8"/>
    <mergeCell ref="B13:F13"/>
    <mergeCell ref="B14:F14"/>
    <mergeCell ref="B16:F16"/>
    <mergeCell ref="B19:C19"/>
    <mergeCell ref="D19:D20"/>
    <mergeCell ref="E19:E20"/>
    <mergeCell ref="F19:F20"/>
    <mergeCell ref="B20:C20"/>
    <mergeCell ref="B23:F23"/>
    <mergeCell ref="B24:F24"/>
    <mergeCell ref="B27:C27"/>
    <mergeCell ref="D27:D28"/>
    <mergeCell ref="E27:E28"/>
    <mergeCell ref="F27:F28"/>
    <mergeCell ref="B28:C28"/>
    <mergeCell ref="B57:F57"/>
    <mergeCell ref="B38:F38"/>
    <mergeCell ref="B39:F39"/>
    <mergeCell ref="B40:F40"/>
    <mergeCell ref="B41:F41"/>
    <mergeCell ref="B42:F42"/>
    <mergeCell ref="B43:F43"/>
    <mergeCell ref="B46:C46"/>
    <mergeCell ref="D46:D47"/>
    <mergeCell ref="E46:E47"/>
    <mergeCell ref="F46:F47"/>
    <mergeCell ref="B47:C47"/>
    <mergeCell ref="B79:F79"/>
    <mergeCell ref="B58:F58"/>
    <mergeCell ref="B59:F59"/>
    <mergeCell ref="B61:F61"/>
    <mergeCell ref="B64:C64"/>
    <mergeCell ref="B74:F74"/>
    <mergeCell ref="B75:F75"/>
    <mergeCell ref="B76:F76"/>
    <mergeCell ref="B77:F77"/>
    <mergeCell ref="B78:F78"/>
    <mergeCell ref="B98:F98"/>
    <mergeCell ref="B82:C82"/>
    <mergeCell ref="D82:D83"/>
    <mergeCell ref="E82:E83"/>
    <mergeCell ref="F82:F83"/>
    <mergeCell ref="B83:C83"/>
    <mergeCell ref="B90:C90"/>
    <mergeCell ref="B92:C92"/>
    <mergeCell ref="B94:F94"/>
    <mergeCell ref="B95:F95"/>
    <mergeCell ref="B96:F96"/>
    <mergeCell ref="B97:F97"/>
    <mergeCell ref="B118:C118"/>
    <mergeCell ref="B99:F99"/>
    <mergeCell ref="B100:F100"/>
    <mergeCell ref="B101:F101"/>
    <mergeCell ref="B104:C104"/>
    <mergeCell ref="D104:D105"/>
    <mergeCell ref="E104:E105"/>
    <mergeCell ref="F104:F105"/>
    <mergeCell ref="B105:C105"/>
    <mergeCell ref="B131:F131"/>
    <mergeCell ref="B60:F60"/>
    <mergeCell ref="B4:F4"/>
    <mergeCell ref="B5:F5"/>
    <mergeCell ref="B6:F6"/>
    <mergeCell ref="B125:F125"/>
    <mergeCell ref="B126:F126"/>
    <mergeCell ref="B127:F127"/>
    <mergeCell ref="B128:F128"/>
    <mergeCell ref="B129:F129"/>
    <mergeCell ref="B130:F130"/>
    <mergeCell ref="B107:F107"/>
    <mergeCell ref="B110:C110"/>
    <mergeCell ref="B113:F113"/>
    <mergeCell ref="B114:F114"/>
    <mergeCell ref="B115:F115"/>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A54C4-3A2A-4640-9201-590BD8CFD656}">
  <sheetPr>
    <tabColor theme="3" tint="0.59999389629810485"/>
  </sheetPr>
  <dimension ref="A1:J48"/>
  <sheetViews>
    <sheetView zoomScale="80" zoomScaleNormal="80" workbookViewId="0">
      <selection sqref="A1:F1"/>
    </sheetView>
  </sheetViews>
  <sheetFormatPr defaultRowHeight="14.5" x14ac:dyDescent="0.35"/>
  <cols>
    <col min="1" max="1" width="6.1796875" bestFit="1" customWidth="1"/>
    <col min="2" max="2" width="76.453125" customWidth="1"/>
    <col min="3" max="3" width="16.81640625" customWidth="1"/>
    <col min="4" max="4" width="15.1796875" customWidth="1"/>
    <col min="5" max="5" width="17.7265625" customWidth="1"/>
    <col min="6" max="6" width="15.1796875" customWidth="1"/>
    <col min="9" max="9" width="43.26953125" customWidth="1"/>
    <col min="10" max="10" width="13" customWidth="1"/>
  </cols>
  <sheetData>
    <row r="1" spans="1:10" x14ac:dyDescent="0.35">
      <c r="A1" s="486" t="s">
        <v>699</v>
      </c>
      <c r="B1" s="487"/>
      <c r="C1" s="487"/>
      <c r="D1" s="487"/>
      <c r="E1" s="487"/>
      <c r="F1" s="488"/>
      <c r="H1" s="489" t="s">
        <v>700</v>
      </c>
      <c r="I1" s="490"/>
      <c r="J1" s="491"/>
    </row>
    <row r="2" spans="1:10" ht="28" x14ac:dyDescent="0.35">
      <c r="A2" s="64" t="s">
        <v>172</v>
      </c>
      <c r="B2" s="64" t="s">
        <v>701</v>
      </c>
      <c r="C2" s="64" t="s">
        <v>134</v>
      </c>
      <c r="D2" s="64" t="s">
        <v>375</v>
      </c>
      <c r="E2" s="64" t="s">
        <v>209</v>
      </c>
      <c r="F2" s="64" t="s">
        <v>210</v>
      </c>
      <c r="H2" s="51" t="s">
        <v>172</v>
      </c>
      <c r="I2" s="51" t="s">
        <v>377</v>
      </c>
      <c r="J2" s="52" t="s">
        <v>378</v>
      </c>
    </row>
    <row r="3" spans="1:10" ht="28" x14ac:dyDescent="0.35">
      <c r="A3" s="65">
        <v>1</v>
      </c>
      <c r="B3" s="66" t="s">
        <v>702</v>
      </c>
      <c r="C3" s="67" t="s">
        <v>405</v>
      </c>
      <c r="D3" s="68">
        <v>10</v>
      </c>
      <c r="E3" s="174">
        <v>152.31</v>
      </c>
      <c r="F3" s="69">
        <f t="shared" ref="F3:F42" si="0">D3*E3</f>
        <v>1523.1</v>
      </c>
      <c r="H3" s="30">
        <v>1</v>
      </c>
      <c r="I3" s="30" t="s">
        <v>381</v>
      </c>
      <c r="J3" s="169">
        <v>3.5299999999999998E-2</v>
      </c>
    </row>
    <row r="4" spans="1:10" ht="28" x14ac:dyDescent="0.35">
      <c r="A4" s="65">
        <v>2</v>
      </c>
      <c r="B4" s="66" t="s">
        <v>703</v>
      </c>
      <c r="C4" s="67" t="s">
        <v>439</v>
      </c>
      <c r="D4" s="68">
        <v>15</v>
      </c>
      <c r="E4" s="174">
        <v>153.47</v>
      </c>
      <c r="F4" s="69">
        <f t="shared" si="0"/>
        <v>2302.0500000000002</v>
      </c>
      <c r="H4" s="30">
        <v>2</v>
      </c>
      <c r="I4" s="30" t="s">
        <v>383</v>
      </c>
      <c r="J4" s="169">
        <v>6.1999999999999998E-3</v>
      </c>
    </row>
    <row r="5" spans="1:10" ht="28" x14ac:dyDescent="0.35">
      <c r="A5" s="65">
        <v>3</v>
      </c>
      <c r="B5" s="66" t="s">
        <v>704</v>
      </c>
      <c r="C5" s="67" t="s">
        <v>439</v>
      </c>
      <c r="D5" s="68">
        <v>6</v>
      </c>
      <c r="E5" s="174">
        <v>2537.8000000000002</v>
      </c>
      <c r="F5" s="69">
        <f t="shared" si="0"/>
        <v>15226.800000000001</v>
      </c>
      <c r="H5" s="30">
        <v>3</v>
      </c>
      <c r="I5" s="30" t="s">
        <v>385</v>
      </c>
      <c r="J5" s="169">
        <v>1.04E-2</v>
      </c>
    </row>
    <row r="6" spans="1:10" ht="28" x14ac:dyDescent="0.35">
      <c r="A6" s="65">
        <v>4</v>
      </c>
      <c r="B6" s="66" t="s">
        <v>705</v>
      </c>
      <c r="C6" s="67" t="s">
        <v>439</v>
      </c>
      <c r="D6" s="68">
        <v>2</v>
      </c>
      <c r="E6" s="174">
        <v>799.59</v>
      </c>
      <c r="F6" s="69">
        <f t="shared" si="0"/>
        <v>1599.18</v>
      </c>
      <c r="H6" s="30">
        <v>4</v>
      </c>
      <c r="I6" s="30" t="s">
        <v>387</v>
      </c>
      <c r="J6" s="169">
        <v>1.0500000000000001E-2</v>
      </c>
    </row>
    <row r="7" spans="1:10" ht="28" x14ac:dyDescent="0.35">
      <c r="A7" s="65">
        <v>5</v>
      </c>
      <c r="B7" s="66" t="s">
        <v>706</v>
      </c>
      <c r="C7" s="67" t="s">
        <v>439</v>
      </c>
      <c r="D7" s="68">
        <v>4</v>
      </c>
      <c r="E7" s="174">
        <v>730.87</v>
      </c>
      <c r="F7" s="69">
        <f t="shared" si="0"/>
        <v>2923.48</v>
      </c>
      <c r="H7" s="30">
        <v>5</v>
      </c>
      <c r="I7" s="30" t="s">
        <v>113</v>
      </c>
      <c r="J7" s="169">
        <v>6.9099999999999995E-2</v>
      </c>
    </row>
    <row r="8" spans="1:10" ht="28" x14ac:dyDescent="0.35">
      <c r="A8" s="65">
        <v>6</v>
      </c>
      <c r="B8" s="66" t="s">
        <v>707</v>
      </c>
      <c r="C8" s="67" t="s">
        <v>405</v>
      </c>
      <c r="D8" s="68">
        <v>2</v>
      </c>
      <c r="E8" s="174">
        <v>983.84</v>
      </c>
      <c r="F8" s="69">
        <f t="shared" si="0"/>
        <v>1967.68</v>
      </c>
      <c r="H8" s="30">
        <v>6</v>
      </c>
      <c r="I8" s="30" t="s">
        <v>114</v>
      </c>
      <c r="J8" s="53">
        <f>SUM(J9:J12)</f>
        <v>8.6499999999999994E-2</v>
      </c>
    </row>
    <row r="9" spans="1:10" ht="28" x14ac:dyDescent="0.35">
      <c r="A9" s="65">
        <v>7</v>
      </c>
      <c r="B9" s="66" t="s">
        <v>708</v>
      </c>
      <c r="C9" s="67" t="s">
        <v>439</v>
      </c>
      <c r="D9" s="68">
        <v>2</v>
      </c>
      <c r="E9" s="174">
        <v>1471.42</v>
      </c>
      <c r="F9" s="69">
        <f t="shared" si="0"/>
        <v>2942.84</v>
      </c>
      <c r="H9" s="70" t="s">
        <v>391</v>
      </c>
      <c r="I9" s="178" t="s">
        <v>392</v>
      </c>
      <c r="J9" s="179">
        <f>Eletrotécnico!G145</f>
        <v>0.05</v>
      </c>
    </row>
    <row r="10" spans="1:10" x14ac:dyDescent="0.35">
      <c r="A10" s="65">
        <v>8</v>
      </c>
      <c r="B10" s="66" t="s">
        <v>709</v>
      </c>
      <c r="C10" s="71" t="s">
        <v>380</v>
      </c>
      <c r="D10" s="68">
        <v>10</v>
      </c>
      <c r="E10" s="174">
        <v>213.7</v>
      </c>
      <c r="F10" s="69">
        <f t="shared" si="0"/>
        <v>2137</v>
      </c>
      <c r="H10" s="70" t="s">
        <v>394</v>
      </c>
      <c r="I10" s="178" t="s">
        <v>395</v>
      </c>
      <c r="J10" s="179">
        <f>Eletrotécnico!G144</f>
        <v>6.4999999999999997E-3</v>
      </c>
    </row>
    <row r="11" spans="1:10" ht="28" x14ac:dyDescent="0.35">
      <c r="A11" s="65">
        <v>9</v>
      </c>
      <c r="B11" s="66" t="s">
        <v>710</v>
      </c>
      <c r="C11" s="67" t="s">
        <v>544</v>
      </c>
      <c r="D11" s="68">
        <v>10</v>
      </c>
      <c r="E11" s="174">
        <v>110.53</v>
      </c>
      <c r="F11" s="69">
        <f t="shared" si="0"/>
        <v>1105.3</v>
      </c>
      <c r="H11" s="72" t="s">
        <v>397</v>
      </c>
      <c r="I11" s="178" t="s">
        <v>398</v>
      </c>
      <c r="J11" s="179">
        <f>Eletrotécnico!G143</f>
        <v>0.03</v>
      </c>
    </row>
    <row r="12" spans="1:10" ht="28" x14ac:dyDescent="0.35">
      <c r="A12" s="65">
        <v>10</v>
      </c>
      <c r="B12" s="66" t="s">
        <v>711</v>
      </c>
      <c r="C12" s="67" t="s">
        <v>439</v>
      </c>
      <c r="D12" s="68">
        <v>2</v>
      </c>
      <c r="E12" s="174">
        <v>480.97</v>
      </c>
      <c r="F12" s="69">
        <f t="shared" si="0"/>
        <v>961.94</v>
      </c>
      <c r="H12" s="72" t="s">
        <v>400</v>
      </c>
      <c r="I12" s="178" t="s">
        <v>401</v>
      </c>
      <c r="J12" s="179">
        <f>Eletrotécnico!G146</f>
        <v>0</v>
      </c>
    </row>
    <row r="13" spans="1:10" ht="28" x14ac:dyDescent="0.35">
      <c r="A13" s="65">
        <v>11</v>
      </c>
      <c r="B13" s="66" t="s">
        <v>712</v>
      </c>
      <c r="C13" s="67" t="s">
        <v>439</v>
      </c>
      <c r="D13" s="68">
        <v>150</v>
      </c>
      <c r="E13" s="174">
        <v>62.31</v>
      </c>
      <c r="F13" s="69">
        <f t="shared" si="0"/>
        <v>9346.5</v>
      </c>
      <c r="H13" s="492" t="s">
        <v>713</v>
      </c>
      <c r="I13" s="493"/>
      <c r="J13" s="73">
        <f>ROUND(((1+(J3+J4+J5))*(1+J6)*(1+J7)/(1-J8))-1,4)</f>
        <v>0.24399999999999999</v>
      </c>
    </row>
    <row r="14" spans="1:10" ht="42" x14ac:dyDescent="0.35">
      <c r="A14" s="65">
        <v>12</v>
      </c>
      <c r="B14" s="66" t="s">
        <v>714</v>
      </c>
      <c r="C14" s="67" t="s">
        <v>405</v>
      </c>
      <c r="D14" s="68">
        <v>5</v>
      </c>
      <c r="E14" s="174">
        <v>741.61</v>
      </c>
      <c r="F14" s="69">
        <f t="shared" si="0"/>
        <v>3708.05</v>
      </c>
      <c r="J14" s="23"/>
    </row>
    <row r="15" spans="1:10" x14ac:dyDescent="0.35">
      <c r="A15" s="65">
        <v>13</v>
      </c>
      <c r="B15" s="66" t="s">
        <v>715</v>
      </c>
      <c r="C15" s="67" t="s">
        <v>439</v>
      </c>
      <c r="D15" s="68">
        <v>2</v>
      </c>
      <c r="E15" s="174">
        <v>1666.87</v>
      </c>
      <c r="F15" s="69">
        <f t="shared" si="0"/>
        <v>3333.74</v>
      </c>
      <c r="H15" s="479" t="s">
        <v>407</v>
      </c>
      <c r="I15" s="479"/>
      <c r="J15" s="479"/>
    </row>
    <row r="16" spans="1:10" ht="28" x14ac:dyDescent="0.35">
      <c r="A16" s="65">
        <v>14</v>
      </c>
      <c r="B16" s="66" t="s">
        <v>716</v>
      </c>
      <c r="C16" s="71" t="s">
        <v>380</v>
      </c>
      <c r="D16" s="68">
        <v>1</v>
      </c>
      <c r="E16" s="174">
        <v>1217.29</v>
      </c>
      <c r="F16" s="69">
        <f t="shared" si="0"/>
        <v>1217.29</v>
      </c>
      <c r="H16" s="26"/>
      <c r="I16" s="26"/>
      <c r="J16" s="61"/>
    </row>
    <row r="17" spans="1:10" ht="28.5" customHeight="1" x14ac:dyDescent="0.35">
      <c r="A17" s="65">
        <v>15</v>
      </c>
      <c r="B17" s="66" t="s">
        <v>717</v>
      </c>
      <c r="C17" s="67" t="s">
        <v>439</v>
      </c>
      <c r="D17" s="68">
        <v>2</v>
      </c>
      <c r="E17" s="174">
        <v>606.41999999999996</v>
      </c>
      <c r="F17" s="69">
        <f t="shared" si="0"/>
        <v>1212.8399999999999</v>
      </c>
      <c r="H17" s="480" t="s">
        <v>698</v>
      </c>
      <c r="I17" s="480"/>
      <c r="J17" s="480"/>
    </row>
    <row r="18" spans="1:10" x14ac:dyDescent="0.35">
      <c r="A18" s="65">
        <v>16</v>
      </c>
      <c r="B18" s="66" t="s">
        <v>718</v>
      </c>
      <c r="C18" s="67" t="s">
        <v>439</v>
      </c>
      <c r="D18" s="68">
        <v>2</v>
      </c>
      <c r="E18" s="174">
        <v>430.22</v>
      </c>
      <c r="F18" s="69">
        <f t="shared" si="0"/>
        <v>860.44</v>
      </c>
      <c r="H18" s="62" t="s">
        <v>411</v>
      </c>
      <c r="I18" s="63"/>
      <c r="J18" s="63"/>
    </row>
    <row r="19" spans="1:10" ht="14.5" customHeight="1" x14ac:dyDescent="0.35">
      <c r="A19" s="65">
        <v>17</v>
      </c>
      <c r="B19" s="66" t="s">
        <v>719</v>
      </c>
      <c r="C19" s="67" t="s">
        <v>439</v>
      </c>
      <c r="D19" s="68">
        <v>2</v>
      </c>
      <c r="E19" s="174">
        <v>505.76</v>
      </c>
      <c r="F19" s="69">
        <f t="shared" si="0"/>
        <v>1011.52</v>
      </c>
      <c r="H19" s="484" t="s">
        <v>720</v>
      </c>
      <c r="I19" s="485"/>
      <c r="J19" s="485"/>
    </row>
    <row r="20" spans="1:10" ht="56.5" customHeight="1" x14ac:dyDescent="0.35">
      <c r="A20" s="65">
        <v>18</v>
      </c>
      <c r="B20" s="66" t="s">
        <v>721</v>
      </c>
      <c r="C20" s="67" t="s">
        <v>439</v>
      </c>
      <c r="D20" s="68">
        <v>10</v>
      </c>
      <c r="E20" s="174">
        <v>91.33</v>
      </c>
      <c r="F20" s="69">
        <f t="shared" si="0"/>
        <v>913.3</v>
      </c>
      <c r="H20" s="485"/>
      <c r="I20" s="485"/>
      <c r="J20" s="485"/>
    </row>
    <row r="21" spans="1:10" ht="28.5" customHeight="1" x14ac:dyDescent="0.35">
      <c r="A21" s="65">
        <v>19</v>
      </c>
      <c r="B21" s="66" t="s">
        <v>722</v>
      </c>
      <c r="C21" s="67" t="s">
        <v>439</v>
      </c>
      <c r="D21" s="68">
        <v>34</v>
      </c>
      <c r="E21" s="174">
        <v>98.47</v>
      </c>
      <c r="F21" s="69">
        <f t="shared" si="0"/>
        <v>3347.98</v>
      </c>
      <c r="H21" s="485"/>
      <c r="I21" s="485"/>
      <c r="J21" s="485"/>
    </row>
    <row r="22" spans="1:10" ht="42" customHeight="1" x14ac:dyDescent="0.35">
      <c r="A22" s="65">
        <v>20</v>
      </c>
      <c r="B22" s="66" t="s">
        <v>723</v>
      </c>
      <c r="C22" s="67" t="s">
        <v>439</v>
      </c>
      <c r="D22" s="68">
        <v>2</v>
      </c>
      <c r="E22" s="174">
        <v>877.98</v>
      </c>
      <c r="F22" s="69">
        <f t="shared" si="0"/>
        <v>1755.96</v>
      </c>
      <c r="H22" s="485"/>
      <c r="I22" s="485"/>
      <c r="J22" s="485"/>
    </row>
    <row r="23" spans="1:10" ht="28" x14ac:dyDescent="0.35">
      <c r="A23" s="65">
        <v>21</v>
      </c>
      <c r="B23" s="66" t="s">
        <v>724</v>
      </c>
      <c r="C23" s="67" t="s">
        <v>439</v>
      </c>
      <c r="D23" s="68">
        <v>2</v>
      </c>
      <c r="E23" s="174">
        <v>681.73</v>
      </c>
      <c r="F23" s="69">
        <f t="shared" si="0"/>
        <v>1363.46</v>
      </c>
      <c r="H23" s="26"/>
      <c r="I23" s="26"/>
      <c r="J23" s="26"/>
    </row>
    <row r="24" spans="1:10" ht="28" x14ac:dyDescent="0.35">
      <c r="A24" s="65">
        <v>22</v>
      </c>
      <c r="B24" s="66" t="s">
        <v>725</v>
      </c>
      <c r="C24" s="67" t="s">
        <v>439</v>
      </c>
      <c r="D24" s="68">
        <v>10</v>
      </c>
      <c r="E24" s="174">
        <v>168.91</v>
      </c>
      <c r="F24" s="69">
        <f t="shared" si="0"/>
        <v>1689.1</v>
      </c>
      <c r="H24" s="26"/>
      <c r="I24" s="26"/>
      <c r="J24" s="26"/>
    </row>
    <row r="25" spans="1:10" x14ac:dyDescent="0.35">
      <c r="A25" s="65">
        <v>23</v>
      </c>
      <c r="B25" s="66" t="s">
        <v>726</v>
      </c>
      <c r="C25" s="67" t="s">
        <v>405</v>
      </c>
      <c r="D25" s="68">
        <v>30</v>
      </c>
      <c r="E25" s="174">
        <v>73.31</v>
      </c>
      <c r="F25" s="69">
        <f>D25*E25</f>
        <v>2199.3000000000002</v>
      </c>
      <c r="H25" s="26"/>
      <c r="I25" s="26"/>
      <c r="J25" s="26"/>
    </row>
    <row r="26" spans="1:10" x14ac:dyDescent="0.35">
      <c r="A26" s="65">
        <v>24</v>
      </c>
      <c r="B26" s="74" t="s">
        <v>727</v>
      </c>
      <c r="C26" s="67" t="s">
        <v>439</v>
      </c>
      <c r="D26" s="68">
        <v>5</v>
      </c>
      <c r="E26" s="174">
        <v>725.24</v>
      </c>
      <c r="F26" s="69">
        <f t="shared" si="0"/>
        <v>3626.2</v>
      </c>
    </row>
    <row r="27" spans="1:10" x14ac:dyDescent="0.35">
      <c r="A27" s="65">
        <v>25</v>
      </c>
      <c r="B27" s="74" t="s">
        <v>728</v>
      </c>
      <c r="C27" s="67" t="s">
        <v>439</v>
      </c>
      <c r="D27" s="68">
        <v>5</v>
      </c>
      <c r="E27" s="174">
        <v>558.75</v>
      </c>
      <c r="F27" s="69">
        <f t="shared" si="0"/>
        <v>2793.75</v>
      </c>
    </row>
    <row r="28" spans="1:10" ht="28" x14ac:dyDescent="0.35">
      <c r="A28" s="65">
        <v>26</v>
      </c>
      <c r="B28" s="74" t="s">
        <v>729</v>
      </c>
      <c r="C28" s="67" t="s">
        <v>439</v>
      </c>
      <c r="D28" s="68">
        <v>5</v>
      </c>
      <c r="E28" s="174">
        <v>437.32</v>
      </c>
      <c r="F28" s="69">
        <f t="shared" si="0"/>
        <v>2186.6</v>
      </c>
    </row>
    <row r="29" spans="1:10" x14ac:dyDescent="0.35">
      <c r="A29" s="65">
        <v>27</v>
      </c>
      <c r="B29" s="66" t="s">
        <v>730</v>
      </c>
      <c r="C29" s="67" t="s">
        <v>439</v>
      </c>
      <c r="D29" s="68">
        <v>30</v>
      </c>
      <c r="E29" s="174">
        <v>65.66</v>
      </c>
      <c r="F29" s="69">
        <f t="shared" si="0"/>
        <v>1969.8</v>
      </c>
    </row>
    <row r="30" spans="1:10" x14ac:dyDescent="0.35">
      <c r="A30" s="65">
        <v>28</v>
      </c>
      <c r="B30" s="66" t="s">
        <v>731</v>
      </c>
      <c r="C30" s="67" t="s">
        <v>439</v>
      </c>
      <c r="D30" s="68">
        <v>10</v>
      </c>
      <c r="E30" s="174">
        <v>18.13</v>
      </c>
      <c r="F30" s="69">
        <f t="shared" si="0"/>
        <v>181.29999999999998</v>
      </c>
    </row>
    <row r="31" spans="1:10" ht="28" x14ac:dyDescent="0.35">
      <c r="A31" s="65">
        <v>29</v>
      </c>
      <c r="B31" s="75" t="s">
        <v>732</v>
      </c>
      <c r="C31" s="67" t="s">
        <v>405</v>
      </c>
      <c r="D31" s="68">
        <v>50</v>
      </c>
      <c r="E31" s="175">
        <v>75.02</v>
      </c>
      <c r="F31" s="76">
        <f t="shared" si="0"/>
        <v>3751</v>
      </c>
    </row>
    <row r="32" spans="1:10" ht="28" x14ac:dyDescent="0.35">
      <c r="A32" s="65">
        <v>30</v>
      </c>
      <c r="B32" s="75" t="s">
        <v>733</v>
      </c>
      <c r="C32" s="71" t="s">
        <v>380</v>
      </c>
      <c r="D32" s="68">
        <v>1</v>
      </c>
      <c r="E32" s="175">
        <v>750</v>
      </c>
      <c r="F32" s="76">
        <f t="shared" si="0"/>
        <v>750</v>
      </c>
    </row>
    <row r="33" spans="1:6" ht="56" x14ac:dyDescent="0.35">
      <c r="A33" s="65">
        <v>31</v>
      </c>
      <c r="B33" s="75" t="s">
        <v>734</v>
      </c>
      <c r="C33" s="67" t="s">
        <v>439</v>
      </c>
      <c r="D33" s="68">
        <v>1</v>
      </c>
      <c r="E33" s="175">
        <v>11.76</v>
      </c>
      <c r="F33" s="76">
        <f t="shared" si="0"/>
        <v>11.76</v>
      </c>
    </row>
    <row r="34" spans="1:6" ht="70" x14ac:dyDescent="0.35">
      <c r="A34" s="65">
        <v>32</v>
      </c>
      <c r="B34" s="75" t="s">
        <v>735</v>
      </c>
      <c r="C34" s="67" t="s">
        <v>439</v>
      </c>
      <c r="D34" s="68">
        <v>1</v>
      </c>
      <c r="E34" s="175">
        <v>24.07</v>
      </c>
      <c r="F34" s="76">
        <f t="shared" si="0"/>
        <v>24.07</v>
      </c>
    </row>
    <row r="35" spans="1:6" ht="28" x14ac:dyDescent="0.35">
      <c r="A35" s="65">
        <v>33</v>
      </c>
      <c r="B35" s="77" t="s">
        <v>736</v>
      </c>
      <c r="C35" s="71" t="s">
        <v>380</v>
      </c>
      <c r="D35" s="68">
        <v>50</v>
      </c>
      <c r="E35" s="176">
        <v>229.16</v>
      </c>
      <c r="F35" s="78">
        <f t="shared" si="0"/>
        <v>11458</v>
      </c>
    </row>
    <row r="36" spans="1:6" x14ac:dyDescent="0.35">
      <c r="A36" s="65">
        <v>34</v>
      </c>
      <c r="B36" s="77" t="s">
        <v>737</v>
      </c>
      <c r="C36" s="79" t="s">
        <v>548</v>
      </c>
      <c r="D36" s="68">
        <f>6*(39+4+5+1+2)</f>
        <v>306</v>
      </c>
      <c r="E36" s="176">
        <v>14.37</v>
      </c>
      <c r="F36" s="78">
        <f t="shared" si="0"/>
        <v>4397.2199999999993</v>
      </c>
    </row>
    <row r="37" spans="1:6" x14ac:dyDescent="0.35">
      <c r="A37" s="65">
        <v>35</v>
      </c>
      <c r="B37" s="74" t="s">
        <v>738</v>
      </c>
      <c r="C37" s="80" t="s">
        <v>548</v>
      </c>
      <c r="D37" s="68">
        <f>6*(14+8+2+1+3+2)</f>
        <v>180</v>
      </c>
      <c r="E37" s="177">
        <v>8.93</v>
      </c>
      <c r="F37" s="81">
        <f t="shared" si="0"/>
        <v>1607.3999999999999</v>
      </c>
    </row>
    <row r="38" spans="1:6" x14ac:dyDescent="0.35">
      <c r="A38" s="65">
        <v>36</v>
      </c>
      <c r="B38" s="66" t="s">
        <v>739</v>
      </c>
      <c r="C38" s="67" t="s">
        <v>567</v>
      </c>
      <c r="D38" s="68">
        <f>10*(24+1+2+3)</f>
        <v>300</v>
      </c>
      <c r="E38" s="174">
        <v>2.86</v>
      </c>
      <c r="F38" s="69">
        <f t="shared" si="0"/>
        <v>858</v>
      </c>
    </row>
    <row r="39" spans="1:6" ht="28" x14ac:dyDescent="0.35">
      <c r="A39" s="65">
        <v>37</v>
      </c>
      <c r="B39" s="66" t="s">
        <v>740</v>
      </c>
      <c r="C39" s="71" t="s">
        <v>380</v>
      </c>
      <c r="D39" s="68">
        <v>5</v>
      </c>
      <c r="E39" s="174">
        <v>127.75</v>
      </c>
      <c r="F39" s="69">
        <f t="shared" si="0"/>
        <v>638.75</v>
      </c>
    </row>
    <row r="40" spans="1:6" ht="28" x14ac:dyDescent="0.35">
      <c r="A40" s="65">
        <v>38</v>
      </c>
      <c r="B40" s="66" t="s">
        <v>741</v>
      </c>
      <c r="C40" s="71" t="s">
        <v>380</v>
      </c>
      <c r="D40" s="68">
        <v>5</v>
      </c>
      <c r="E40" s="174">
        <v>352.99</v>
      </c>
      <c r="F40" s="69">
        <f t="shared" si="0"/>
        <v>1764.95</v>
      </c>
    </row>
    <row r="41" spans="1:6" x14ac:dyDescent="0.35">
      <c r="A41" s="65">
        <v>39</v>
      </c>
      <c r="B41" s="66" t="s">
        <v>742</v>
      </c>
      <c r="C41" s="71" t="s">
        <v>380</v>
      </c>
      <c r="D41" s="68">
        <v>1</v>
      </c>
      <c r="E41" s="174">
        <v>737.76</v>
      </c>
      <c r="F41" s="69">
        <f t="shared" si="0"/>
        <v>737.76</v>
      </c>
    </row>
    <row r="42" spans="1:6" x14ac:dyDescent="0.35">
      <c r="A42" s="82">
        <v>40</v>
      </c>
      <c r="B42" s="75" t="s">
        <v>743</v>
      </c>
      <c r="C42" s="67" t="s">
        <v>439</v>
      </c>
      <c r="D42" s="83">
        <v>5</v>
      </c>
      <c r="E42" s="175">
        <v>253.92</v>
      </c>
      <c r="F42" s="76">
        <f t="shared" si="0"/>
        <v>1269.5999999999999</v>
      </c>
    </row>
    <row r="43" spans="1:6" x14ac:dyDescent="0.35">
      <c r="A43" s="481" t="s">
        <v>692</v>
      </c>
      <c r="B43" s="482"/>
      <c r="C43" s="482"/>
      <c r="D43" s="482"/>
      <c r="E43" s="483"/>
      <c r="F43" s="57">
        <f>SUM(F3:F42)</f>
        <v>102675.01000000001</v>
      </c>
    </row>
    <row r="44" spans="1:6" x14ac:dyDescent="0.35">
      <c r="A44" s="481" t="s">
        <v>693</v>
      </c>
      <c r="B44" s="482"/>
      <c r="C44" s="482"/>
      <c r="D44" s="482"/>
      <c r="E44" s="483"/>
      <c r="F44" s="57">
        <f>F43/12</f>
        <v>8556.2508333333335</v>
      </c>
    </row>
    <row r="46" spans="1:6" x14ac:dyDescent="0.35">
      <c r="A46" s="472" t="s">
        <v>374</v>
      </c>
      <c r="B46" s="472"/>
      <c r="C46" s="472"/>
      <c r="D46" s="472"/>
      <c r="E46" s="472"/>
      <c r="F46" s="58">
        <f>J13</f>
        <v>0.24399999999999999</v>
      </c>
    </row>
    <row r="47" spans="1:6" x14ac:dyDescent="0.35">
      <c r="A47" s="473" t="s">
        <v>694</v>
      </c>
      <c r="B47" s="474"/>
      <c r="C47" s="474"/>
      <c r="D47" s="474"/>
      <c r="E47" s="475"/>
      <c r="F47" s="84">
        <f>ROUND((F43+(F43*F46)),4)</f>
        <v>127727.7124</v>
      </c>
    </row>
    <row r="48" spans="1:6" x14ac:dyDescent="0.35">
      <c r="A48" s="473" t="s">
        <v>695</v>
      </c>
      <c r="B48" s="474"/>
      <c r="C48" s="474"/>
      <c r="D48" s="474"/>
      <c r="E48" s="475"/>
      <c r="F48" s="84">
        <f>ROUND((F44+(F44*F46)),4)</f>
        <v>10643.976000000001</v>
      </c>
    </row>
  </sheetData>
  <sheetProtection algorithmName="SHA-512" hashValue="YU08xfk09Zz0m35l2uNaBZp1a3+wmiL/O+lnbj/CPO9VWXTl2z9mHG//O37fT6Rjv8s4JgKjkoUA7kdA/5gFDA==" saltValue="t5OegeMDFaVQGIHXk4ibKQ==" spinCount="100000" sheet="1" objects="1" scenarios="1"/>
  <mergeCells count="11">
    <mergeCell ref="H19:J22"/>
    <mergeCell ref="A1:F1"/>
    <mergeCell ref="H1:J1"/>
    <mergeCell ref="H13:I13"/>
    <mergeCell ref="H15:J15"/>
    <mergeCell ref="H17:J17"/>
    <mergeCell ref="A43:E43"/>
    <mergeCell ref="A44:E44"/>
    <mergeCell ref="A46:E46"/>
    <mergeCell ref="A47:E47"/>
    <mergeCell ref="A48:E48"/>
  </mergeCells>
  <conditionalFormatting sqref="F3">
    <cfRule type="cellIs" dxfId="51" priority="43" operator="greaterThan">
      <formula>1523.1</formula>
    </cfRule>
  </conditionalFormatting>
  <conditionalFormatting sqref="F4">
    <cfRule type="cellIs" dxfId="50" priority="42" operator="greaterThan">
      <formula>2302.05</formula>
    </cfRule>
  </conditionalFormatting>
  <conditionalFormatting sqref="F5">
    <cfRule type="cellIs" dxfId="49" priority="41" operator="greaterThan">
      <formula>15226.8</formula>
    </cfRule>
  </conditionalFormatting>
  <conditionalFormatting sqref="F6">
    <cfRule type="cellIs" dxfId="48" priority="40" operator="greaterThan">
      <formula>1599.18</formula>
    </cfRule>
  </conditionalFormatting>
  <conditionalFormatting sqref="F7">
    <cfRule type="cellIs" dxfId="47" priority="39" operator="greaterThan">
      <formula>2923.48</formula>
    </cfRule>
  </conditionalFormatting>
  <conditionalFormatting sqref="F8">
    <cfRule type="cellIs" dxfId="46" priority="38" operator="greaterThan">
      <formula>1967.68</formula>
    </cfRule>
  </conditionalFormatting>
  <conditionalFormatting sqref="F9">
    <cfRule type="cellIs" dxfId="45" priority="37" operator="greaterThan">
      <formula>2942.84</formula>
    </cfRule>
  </conditionalFormatting>
  <conditionalFormatting sqref="F10">
    <cfRule type="cellIs" dxfId="44" priority="36" operator="greaterThan">
      <formula>2137</formula>
    </cfRule>
  </conditionalFormatting>
  <conditionalFormatting sqref="F11">
    <cfRule type="cellIs" dxfId="43" priority="35" operator="greaterThan">
      <formula>1105.3</formula>
    </cfRule>
  </conditionalFormatting>
  <conditionalFormatting sqref="F12">
    <cfRule type="cellIs" dxfId="42" priority="34" operator="greaterThan">
      <formula>961.94</formula>
    </cfRule>
  </conditionalFormatting>
  <conditionalFormatting sqref="F13">
    <cfRule type="cellIs" dxfId="41" priority="33" operator="greaterThan">
      <formula>9346.5</formula>
    </cfRule>
  </conditionalFormatting>
  <conditionalFormatting sqref="F14">
    <cfRule type="cellIs" dxfId="40" priority="32" operator="greaterThan">
      <formula>3708.05</formula>
    </cfRule>
  </conditionalFormatting>
  <conditionalFormatting sqref="F15">
    <cfRule type="cellIs" dxfId="39" priority="31" operator="greaterThan">
      <formula>3333.74</formula>
    </cfRule>
  </conditionalFormatting>
  <conditionalFormatting sqref="F16">
    <cfRule type="cellIs" dxfId="38" priority="30" operator="greaterThan">
      <formula>1217.29</formula>
    </cfRule>
  </conditionalFormatting>
  <conditionalFormatting sqref="F17">
    <cfRule type="cellIs" dxfId="37" priority="29" operator="greaterThan">
      <formula>1212.84</formula>
    </cfRule>
  </conditionalFormatting>
  <conditionalFormatting sqref="F18">
    <cfRule type="cellIs" dxfId="36" priority="28" operator="greaterThan">
      <formula>860.44</formula>
    </cfRule>
  </conditionalFormatting>
  <conditionalFormatting sqref="F19">
    <cfRule type="cellIs" dxfId="35" priority="27" operator="greaterThan">
      <formula>1011.52</formula>
    </cfRule>
  </conditionalFormatting>
  <conditionalFormatting sqref="F20">
    <cfRule type="cellIs" dxfId="34" priority="26" operator="greaterThan">
      <formula>913.3</formula>
    </cfRule>
  </conditionalFormatting>
  <conditionalFormatting sqref="F21">
    <cfRule type="cellIs" dxfId="33" priority="25" operator="greaterThan">
      <formula>3347.98</formula>
    </cfRule>
    <cfRule type="cellIs" dxfId="32" priority="23" operator="greaterThan">
      <formula>3347.98</formula>
    </cfRule>
  </conditionalFormatting>
  <conditionalFormatting sqref="F24">
    <cfRule type="cellIs" dxfId="31" priority="24" operator="greaterThan">
      <formula>1755.96</formula>
    </cfRule>
    <cfRule type="cellIs" dxfId="30" priority="20" operator="greaterThan">
      <formula>1689.1</formula>
    </cfRule>
  </conditionalFormatting>
  <conditionalFormatting sqref="F22">
    <cfRule type="cellIs" dxfId="29" priority="22" operator="greaterThan">
      <formula>1755.96</formula>
    </cfRule>
  </conditionalFormatting>
  <conditionalFormatting sqref="F23">
    <cfRule type="cellIs" dxfId="28" priority="21" operator="greaterThan">
      <formula>1363.46</formula>
    </cfRule>
  </conditionalFormatting>
  <conditionalFormatting sqref="F25">
    <cfRule type="cellIs" dxfId="27" priority="19" operator="greaterThan">
      <formula>2199.3</formula>
    </cfRule>
  </conditionalFormatting>
  <conditionalFormatting sqref="F26">
    <cfRule type="cellIs" dxfId="26" priority="18" operator="greaterThan">
      <formula>3626.2</formula>
    </cfRule>
  </conditionalFormatting>
  <conditionalFormatting sqref="F27">
    <cfRule type="cellIs" dxfId="25" priority="17" operator="greaterThan">
      <formula>2793.75</formula>
    </cfRule>
  </conditionalFormatting>
  <conditionalFormatting sqref="F28">
    <cfRule type="cellIs" dxfId="24" priority="16" operator="greaterThan">
      <formula>2186.6</formula>
    </cfRule>
  </conditionalFormatting>
  <conditionalFormatting sqref="F29">
    <cfRule type="cellIs" dxfId="23" priority="15" operator="greaterThan">
      <formula>1969.8</formula>
    </cfRule>
  </conditionalFormatting>
  <conditionalFormatting sqref="F30">
    <cfRule type="cellIs" dxfId="22" priority="14" operator="greaterThan">
      <formula>181.3</formula>
    </cfRule>
  </conditionalFormatting>
  <conditionalFormatting sqref="F31">
    <cfRule type="cellIs" dxfId="21" priority="13" operator="greaterThan">
      <formula>3751</formula>
    </cfRule>
  </conditionalFormatting>
  <conditionalFormatting sqref="F32">
    <cfRule type="cellIs" dxfId="20" priority="12" operator="greaterThan">
      <formula>750</formula>
    </cfRule>
  </conditionalFormatting>
  <conditionalFormatting sqref="F33">
    <cfRule type="cellIs" dxfId="19" priority="11" operator="greaterThan">
      <formula>11.76</formula>
    </cfRule>
  </conditionalFormatting>
  <conditionalFormatting sqref="F34">
    <cfRule type="cellIs" dxfId="18" priority="10" operator="greaterThan">
      <formula>24.07</formula>
    </cfRule>
  </conditionalFormatting>
  <conditionalFormatting sqref="F35">
    <cfRule type="cellIs" dxfId="17" priority="9" operator="greaterThan">
      <formula>11458</formula>
    </cfRule>
  </conditionalFormatting>
  <conditionalFormatting sqref="F36">
    <cfRule type="cellIs" dxfId="16" priority="8" operator="greaterThan">
      <formula>4397.22</formula>
    </cfRule>
  </conditionalFormatting>
  <conditionalFormatting sqref="F37">
    <cfRule type="cellIs" dxfId="15" priority="7" operator="greaterThan">
      <formula>1607.4</formula>
    </cfRule>
  </conditionalFormatting>
  <conditionalFormatting sqref="F38">
    <cfRule type="cellIs" dxfId="14" priority="6" operator="greaterThan">
      <formula>858</formula>
    </cfRule>
  </conditionalFormatting>
  <conditionalFormatting sqref="F39">
    <cfRule type="cellIs" dxfId="13" priority="5" operator="greaterThan">
      <formula>638.75</formula>
    </cfRule>
  </conditionalFormatting>
  <conditionalFormatting sqref="F40">
    <cfRule type="cellIs" dxfId="12" priority="4" operator="greaterThan">
      <formula>1764.95</formula>
    </cfRule>
  </conditionalFormatting>
  <conditionalFormatting sqref="F41">
    <cfRule type="cellIs" dxfId="11" priority="3" operator="greaterThan">
      <formula>737.76</formula>
    </cfRule>
  </conditionalFormatting>
  <conditionalFormatting sqref="F42">
    <cfRule type="cellIs" dxfId="10" priority="2" operator="greaterThan">
      <formula>1269.6</formula>
    </cfRule>
  </conditionalFormatting>
  <conditionalFormatting sqref="J13">
    <cfRule type="cellIs" dxfId="9" priority="1" operator="greaterThan">
      <formula>0.244</formula>
    </cfRule>
  </conditionalFormatting>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B17F9-13C3-48C4-99AF-DAF592F1474E}">
  <sheetPr>
    <tabColor theme="3" tint="0.59999389629810485"/>
  </sheetPr>
  <dimension ref="A1:J26"/>
  <sheetViews>
    <sheetView tabSelected="1" zoomScale="80" zoomScaleNormal="80" workbookViewId="0">
      <selection activeCell="F11" sqref="F11"/>
    </sheetView>
  </sheetViews>
  <sheetFormatPr defaultRowHeight="14.5" x14ac:dyDescent="0.35"/>
  <cols>
    <col min="1" max="1" width="4.7265625" bestFit="1" customWidth="1"/>
    <col min="2" max="2" width="66.54296875" customWidth="1"/>
    <col min="3" max="3" width="14.1796875" bestFit="1" customWidth="1"/>
    <col min="4" max="4" width="12.1796875" bestFit="1" customWidth="1"/>
    <col min="5" max="5" width="18.54296875" bestFit="1" customWidth="1"/>
    <col min="6" max="6" width="15.81640625" bestFit="1" customWidth="1"/>
    <col min="9" max="9" width="43.26953125" customWidth="1"/>
    <col min="10" max="10" width="13" customWidth="1"/>
  </cols>
  <sheetData>
    <row r="1" spans="1:10" x14ac:dyDescent="0.35">
      <c r="A1" s="494" t="s">
        <v>754</v>
      </c>
      <c r="B1" s="494"/>
      <c r="C1" s="494"/>
      <c r="D1" s="494"/>
      <c r="E1" s="494"/>
      <c r="F1" s="494"/>
      <c r="H1" s="489" t="s">
        <v>700</v>
      </c>
      <c r="I1" s="490"/>
      <c r="J1" s="491"/>
    </row>
    <row r="2" spans="1:10" x14ac:dyDescent="0.35">
      <c r="A2" s="27" t="s">
        <v>172</v>
      </c>
      <c r="B2" s="27" t="s">
        <v>701</v>
      </c>
      <c r="C2" s="27" t="s">
        <v>744</v>
      </c>
      <c r="D2" s="27" t="s">
        <v>135</v>
      </c>
      <c r="E2" s="27" t="s">
        <v>209</v>
      </c>
      <c r="F2" s="27" t="s">
        <v>210</v>
      </c>
      <c r="H2" s="51" t="s">
        <v>172</v>
      </c>
      <c r="I2" s="51" t="s">
        <v>377</v>
      </c>
      <c r="J2" s="52" t="s">
        <v>378</v>
      </c>
    </row>
    <row r="3" spans="1:10" x14ac:dyDescent="0.35">
      <c r="A3" s="30">
        <v>1</v>
      </c>
      <c r="B3" s="85" t="s">
        <v>745</v>
      </c>
      <c r="C3" s="30" t="s">
        <v>746</v>
      </c>
      <c r="D3" s="30">
        <v>2</v>
      </c>
      <c r="E3" s="168">
        <v>2800</v>
      </c>
      <c r="F3" s="32">
        <f>D3*E3</f>
        <v>5600</v>
      </c>
      <c r="H3" s="30">
        <v>1</v>
      </c>
      <c r="I3" s="30" t="s">
        <v>381</v>
      </c>
      <c r="J3" s="169">
        <v>3.5299999999999998E-2</v>
      </c>
    </row>
    <row r="4" spans="1:10" ht="28.5" x14ac:dyDescent="0.35">
      <c r="A4" s="30">
        <v>2</v>
      </c>
      <c r="B4" s="85" t="s">
        <v>747</v>
      </c>
      <c r="C4" s="30" t="s">
        <v>746</v>
      </c>
      <c r="D4" s="30">
        <v>3</v>
      </c>
      <c r="E4" s="168">
        <v>1876</v>
      </c>
      <c r="F4" s="32">
        <f t="shared" ref="F4:F10" si="0">D4*E4</f>
        <v>5628</v>
      </c>
      <c r="H4" s="30">
        <v>2</v>
      </c>
      <c r="I4" s="30" t="s">
        <v>383</v>
      </c>
      <c r="J4" s="169">
        <v>6.1999999999999998E-3</v>
      </c>
    </row>
    <row r="5" spans="1:10" x14ac:dyDescent="0.35">
      <c r="A5" s="30">
        <v>3</v>
      </c>
      <c r="B5" s="85" t="s">
        <v>748</v>
      </c>
      <c r="C5" s="30" t="s">
        <v>746</v>
      </c>
      <c r="D5" s="30">
        <v>1</v>
      </c>
      <c r="E5" s="168">
        <v>2600</v>
      </c>
      <c r="F5" s="32">
        <f t="shared" si="0"/>
        <v>2600</v>
      </c>
      <c r="H5" s="30">
        <v>3</v>
      </c>
      <c r="I5" s="30" t="s">
        <v>385</v>
      </c>
      <c r="J5" s="169">
        <v>1.04E-2</v>
      </c>
    </row>
    <row r="6" spans="1:10" x14ac:dyDescent="0.35">
      <c r="A6" s="30">
        <v>4</v>
      </c>
      <c r="B6" s="85" t="s">
        <v>749</v>
      </c>
      <c r="C6" s="30" t="s">
        <v>746</v>
      </c>
      <c r="D6" s="30">
        <v>2</v>
      </c>
      <c r="E6" s="168">
        <v>1126.5</v>
      </c>
      <c r="F6" s="32">
        <f t="shared" si="0"/>
        <v>2253</v>
      </c>
      <c r="H6" s="30">
        <v>4</v>
      </c>
      <c r="I6" s="30" t="s">
        <v>387</v>
      </c>
      <c r="J6" s="169">
        <v>1.0500000000000001E-2</v>
      </c>
    </row>
    <row r="7" spans="1:10" ht="28.5" x14ac:dyDescent="0.35">
      <c r="A7" s="30">
        <v>5</v>
      </c>
      <c r="B7" s="85" t="s">
        <v>750</v>
      </c>
      <c r="C7" s="30" t="s">
        <v>746</v>
      </c>
      <c r="D7" s="30">
        <v>2</v>
      </c>
      <c r="E7" s="168">
        <v>1100</v>
      </c>
      <c r="F7" s="32">
        <f t="shared" si="0"/>
        <v>2200</v>
      </c>
      <c r="H7" s="30">
        <v>5</v>
      </c>
      <c r="I7" s="30" t="s">
        <v>113</v>
      </c>
      <c r="J7" s="169">
        <v>6.9099999999999995E-2</v>
      </c>
    </row>
    <row r="8" spans="1:10" ht="28.5" x14ac:dyDescent="0.35">
      <c r="A8" s="30">
        <v>6</v>
      </c>
      <c r="B8" s="85" t="s">
        <v>751</v>
      </c>
      <c r="C8" s="30" t="s">
        <v>746</v>
      </c>
      <c r="D8" s="30">
        <v>3</v>
      </c>
      <c r="E8" s="168">
        <v>330</v>
      </c>
      <c r="F8" s="32">
        <f t="shared" si="0"/>
        <v>990</v>
      </c>
      <c r="H8" s="30">
        <v>6</v>
      </c>
      <c r="I8" s="30" t="s">
        <v>114</v>
      </c>
      <c r="J8" s="53">
        <f>SUM(J9:J12)</f>
        <v>8.6499999999999994E-2</v>
      </c>
    </row>
    <row r="9" spans="1:10" ht="28.5" x14ac:dyDescent="0.35">
      <c r="A9" s="30">
        <v>7</v>
      </c>
      <c r="B9" s="85" t="s">
        <v>752</v>
      </c>
      <c r="C9" s="30" t="s">
        <v>746</v>
      </c>
      <c r="D9" s="30">
        <v>36</v>
      </c>
      <c r="E9" s="168">
        <v>19.989999999999998</v>
      </c>
      <c r="F9" s="32">
        <f t="shared" si="0"/>
        <v>719.64</v>
      </c>
      <c r="H9" s="70" t="s">
        <v>391</v>
      </c>
      <c r="I9" s="178" t="s">
        <v>392</v>
      </c>
      <c r="J9" s="179">
        <f>Eletrotécnico!G145</f>
        <v>0.05</v>
      </c>
    </row>
    <row r="10" spans="1:10" ht="28.5" x14ac:dyDescent="0.35">
      <c r="A10" s="30">
        <v>8</v>
      </c>
      <c r="B10" s="85" t="s">
        <v>753</v>
      </c>
      <c r="C10" s="30" t="s">
        <v>746</v>
      </c>
      <c r="D10" s="30">
        <v>10</v>
      </c>
      <c r="E10" s="168">
        <v>1003</v>
      </c>
      <c r="F10" s="32">
        <f t="shared" si="0"/>
        <v>10030</v>
      </c>
      <c r="H10" s="70" t="s">
        <v>394</v>
      </c>
      <c r="I10" s="178" t="s">
        <v>395</v>
      </c>
      <c r="J10" s="179">
        <f>Eletrotécnico!G144</f>
        <v>6.4999999999999997E-3</v>
      </c>
    </row>
    <row r="11" spans="1:10" x14ac:dyDescent="0.35">
      <c r="A11" s="471" t="s">
        <v>692</v>
      </c>
      <c r="B11" s="471"/>
      <c r="C11" s="471"/>
      <c r="D11" s="471"/>
      <c r="E11" s="471"/>
      <c r="F11" s="57">
        <f>SUM(F3:F10)</f>
        <v>30020.639999999999</v>
      </c>
      <c r="H11" s="72" t="s">
        <v>397</v>
      </c>
      <c r="I11" s="178" t="s">
        <v>398</v>
      </c>
      <c r="J11" s="179">
        <f>Eletrotécnico!G143</f>
        <v>0.03</v>
      </c>
    </row>
    <row r="12" spans="1:10" x14ac:dyDescent="0.35">
      <c r="A12" s="471" t="s">
        <v>693</v>
      </c>
      <c r="B12" s="471"/>
      <c r="C12" s="471"/>
      <c r="D12" s="471"/>
      <c r="E12" s="471"/>
      <c r="F12" s="57">
        <f>F11/12</f>
        <v>2501.7199999999998</v>
      </c>
      <c r="H12" s="72" t="s">
        <v>400</v>
      </c>
      <c r="I12" s="178" t="s">
        <v>401</v>
      </c>
      <c r="J12" s="179">
        <f>Eletrotécnico!G146</f>
        <v>0</v>
      </c>
    </row>
    <row r="13" spans="1:10" x14ac:dyDescent="0.35">
      <c r="H13" s="492" t="s">
        <v>713</v>
      </c>
      <c r="I13" s="493"/>
      <c r="J13" s="73">
        <f>ROUND(((1+(J3+J4+J5))*(1+J6)*(1+J7)/(1-J8))-1,4)</f>
        <v>0.24399999999999999</v>
      </c>
    </row>
    <row r="14" spans="1:10" x14ac:dyDescent="0.35">
      <c r="A14" s="472" t="s">
        <v>374</v>
      </c>
      <c r="B14" s="472"/>
      <c r="C14" s="472"/>
      <c r="D14" s="472"/>
      <c r="E14" s="472"/>
      <c r="F14" s="58">
        <f>J13</f>
        <v>0.24399999999999999</v>
      </c>
      <c r="J14" s="23"/>
    </row>
    <row r="15" spans="1:10" x14ac:dyDescent="0.35">
      <c r="A15" s="473" t="s">
        <v>694</v>
      </c>
      <c r="B15" s="474"/>
      <c r="C15" s="474"/>
      <c r="D15" s="474"/>
      <c r="E15" s="475"/>
      <c r="F15" s="84">
        <f>ROUND((F11+(F11*F14)),4)</f>
        <v>37345.676200000002</v>
      </c>
      <c r="H15" s="479" t="s">
        <v>407</v>
      </c>
      <c r="I15" s="479"/>
      <c r="J15" s="479"/>
    </row>
    <row r="16" spans="1:10" x14ac:dyDescent="0.35">
      <c r="A16" s="473" t="s">
        <v>695</v>
      </c>
      <c r="B16" s="474"/>
      <c r="C16" s="474"/>
      <c r="D16" s="474"/>
      <c r="E16" s="475"/>
      <c r="F16" s="84">
        <f>ROUND((F12+(F12*F14)),4)</f>
        <v>3112.1397000000002</v>
      </c>
      <c r="H16" s="26"/>
      <c r="I16" s="26"/>
      <c r="J16" s="61"/>
    </row>
    <row r="17" spans="8:10" x14ac:dyDescent="0.35">
      <c r="H17" s="480" t="s">
        <v>698</v>
      </c>
      <c r="I17" s="480"/>
      <c r="J17" s="480"/>
    </row>
    <row r="18" spans="8:10" x14ac:dyDescent="0.35">
      <c r="H18" s="62"/>
      <c r="I18" s="63"/>
      <c r="J18" s="63"/>
    </row>
    <row r="19" spans="8:10" x14ac:dyDescent="0.35">
      <c r="H19" s="62" t="s">
        <v>411</v>
      </c>
      <c r="I19" s="63"/>
      <c r="J19" s="63"/>
    </row>
    <row r="20" spans="8:10" x14ac:dyDescent="0.35">
      <c r="H20" s="63" t="s">
        <v>413</v>
      </c>
      <c r="I20" s="63"/>
      <c r="J20" s="63"/>
    </row>
    <row r="21" spans="8:10" x14ac:dyDescent="0.35">
      <c r="H21" s="476" t="s">
        <v>415</v>
      </c>
      <c r="I21" s="476"/>
      <c r="J21" s="476"/>
    </row>
    <row r="22" spans="8:10" x14ac:dyDescent="0.35">
      <c r="H22" s="476" t="s">
        <v>417</v>
      </c>
      <c r="I22" s="476"/>
      <c r="J22" s="476"/>
    </row>
    <row r="23" spans="8:10" x14ac:dyDescent="0.35">
      <c r="H23" s="476" t="s">
        <v>419</v>
      </c>
      <c r="I23" s="476"/>
      <c r="J23" s="476"/>
    </row>
    <row r="24" spans="8:10" x14ac:dyDescent="0.35">
      <c r="H24" s="476" t="s">
        <v>421</v>
      </c>
      <c r="I24" s="476"/>
      <c r="J24" s="476"/>
    </row>
    <row r="25" spans="8:10" x14ac:dyDescent="0.35">
      <c r="H25" s="476" t="s">
        <v>423</v>
      </c>
      <c r="I25" s="476"/>
      <c r="J25" s="476"/>
    </row>
    <row r="26" spans="8:10" x14ac:dyDescent="0.35">
      <c r="H26" s="476" t="s">
        <v>425</v>
      </c>
      <c r="I26" s="476"/>
      <c r="J26" s="476"/>
    </row>
  </sheetData>
  <sheetProtection algorithmName="SHA-512" hashValue="VyrvDbt/m5JAxXFDXzpkqw+r4yGciZ1H1zS2cCG/gPM2na1dJVv2zeY42dlJB/Ty1Rp2W4p3RAvibu1HA2Z3iw==" saltValue="z5aqK0OeWRn1vBEXz1wVpA==" spinCount="100000" sheet="1" objects="1" scenarios="1"/>
  <mergeCells count="16">
    <mergeCell ref="H26:J26"/>
    <mergeCell ref="A1:F1"/>
    <mergeCell ref="A14:E14"/>
    <mergeCell ref="A15:E15"/>
    <mergeCell ref="A16:E16"/>
    <mergeCell ref="H21:J21"/>
    <mergeCell ref="H22:J22"/>
    <mergeCell ref="H23:J23"/>
    <mergeCell ref="H24:J24"/>
    <mergeCell ref="H25:J25"/>
    <mergeCell ref="A11:E11"/>
    <mergeCell ref="A12:E12"/>
    <mergeCell ref="H1:J1"/>
    <mergeCell ref="H13:I13"/>
    <mergeCell ref="H15:J15"/>
    <mergeCell ref="H17:J17"/>
  </mergeCells>
  <conditionalFormatting sqref="J13">
    <cfRule type="cellIs" dxfId="8" priority="9" operator="greaterThan">
      <formula>0.244</formula>
    </cfRule>
  </conditionalFormatting>
  <conditionalFormatting sqref="F3">
    <cfRule type="cellIs" dxfId="7" priority="8" operator="greaterThan">
      <formula>5600</formula>
    </cfRule>
  </conditionalFormatting>
  <conditionalFormatting sqref="F4">
    <cfRule type="cellIs" dxfId="6" priority="7" operator="greaterThan">
      <formula>5628</formula>
    </cfRule>
  </conditionalFormatting>
  <conditionalFormatting sqref="F5">
    <cfRule type="cellIs" dxfId="5" priority="6" operator="greaterThan">
      <formula>2600</formula>
    </cfRule>
  </conditionalFormatting>
  <conditionalFormatting sqref="F6">
    <cfRule type="cellIs" dxfId="4" priority="5" operator="greaterThan">
      <formula>2253</formula>
    </cfRule>
  </conditionalFormatting>
  <conditionalFormatting sqref="F7">
    <cfRule type="cellIs" dxfId="3" priority="4" operator="greaterThan">
      <formula>2200</formula>
    </cfRule>
  </conditionalFormatting>
  <conditionalFormatting sqref="F8">
    <cfRule type="cellIs" dxfId="2" priority="3" operator="greaterThan">
      <formula>990</formula>
    </cfRule>
  </conditionalFormatting>
  <conditionalFormatting sqref="F9">
    <cfRule type="cellIs" dxfId="1" priority="2" operator="greaterThan">
      <formula>719.64</formula>
    </cfRule>
  </conditionalFormatting>
  <conditionalFormatting sqref="F10">
    <cfRule type="cellIs" dxfId="0" priority="1" operator="greaterThan">
      <formula>10030</formula>
    </cfRule>
  </conditionalFormatting>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FFEDB-030F-4535-BBB2-2739A6DB4B7B}">
  <sheetPr>
    <tabColor theme="2" tint="-9.9978637043366805E-2"/>
  </sheetPr>
  <dimension ref="A1:H28"/>
  <sheetViews>
    <sheetView zoomScale="80" zoomScaleNormal="80" workbookViewId="0">
      <selection activeCell="G11" sqref="G11"/>
    </sheetView>
  </sheetViews>
  <sheetFormatPr defaultRowHeight="14.5" x14ac:dyDescent="0.35"/>
  <cols>
    <col min="3" max="3" width="52.6328125" bestFit="1" customWidth="1"/>
    <col min="4" max="4" width="9.90625" customWidth="1"/>
    <col min="5" max="5" width="18.7265625" customWidth="1"/>
    <col min="6" max="6" width="20.54296875" bestFit="1" customWidth="1"/>
    <col min="7" max="7" width="24.1796875" style="86" customWidth="1"/>
    <col min="8" max="8" width="27.54296875" style="86" customWidth="1"/>
  </cols>
  <sheetData>
    <row r="1" spans="1:8" ht="15.5" x14ac:dyDescent="0.35">
      <c r="A1" s="287" t="s">
        <v>772</v>
      </c>
      <c r="B1" s="287"/>
      <c r="C1" s="287"/>
      <c r="D1" s="287"/>
      <c r="E1" s="287"/>
      <c r="F1" s="287"/>
      <c r="G1" s="287"/>
      <c r="H1" s="287"/>
    </row>
    <row r="3" spans="1:8" x14ac:dyDescent="0.35">
      <c r="A3" s="288" t="s">
        <v>773</v>
      </c>
      <c r="B3" s="288"/>
      <c r="C3" s="288"/>
      <c r="D3" s="288"/>
      <c r="E3" s="288"/>
      <c r="F3" s="288"/>
      <c r="G3" s="288"/>
      <c r="H3" s="288"/>
    </row>
    <row r="4" spans="1:8" x14ac:dyDescent="0.35">
      <c r="A4" s="289" t="s">
        <v>778</v>
      </c>
      <c r="B4" s="289"/>
      <c r="C4" s="290"/>
      <c r="D4" s="290"/>
      <c r="E4" s="290"/>
      <c r="F4" s="290"/>
      <c r="G4" s="91" t="s">
        <v>774</v>
      </c>
      <c r="H4" s="166"/>
    </row>
    <row r="5" spans="1:8" x14ac:dyDescent="0.35">
      <c r="A5" s="289" t="s">
        <v>779</v>
      </c>
      <c r="B5" s="289"/>
      <c r="C5" s="291"/>
      <c r="D5" s="291"/>
      <c r="E5" s="92" t="s">
        <v>775</v>
      </c>
      <c r="F5" s="165"/>
      <c r="G5" s="91" t="s">
        <v>776</v>
      </c>
      <c r="H5" s="166"/>
    </row>
    <row r="6" spans="1:8" x14ac:dyDescent="0.35">
      <c r="A6" s="289" t="s">
        <v>780</v>
      </c>
      <c r="B6" s="289"/>
      <c r="C6" s="291"/>
      <c r="D6" s="291"/>
      <c r="E6" s="92" t="s">
        <v>777</v>
      </c>
      <c r="F6" s="291"/>
      <c r="G6" s="291"/>
      <c r="H6" s="291"/>
    </row>
    <row r="7" spans="1:8" x14ac:dyDescent="0.35">
      <c r="A7" s="26"/>
      <c r="B7" s="26"/>
      <c r="C7" s="26"/>
      <c r="D7" s="26"/>
      <c r="E7" s="26"/>
      <c r="F7" s="26"/>
      <c r="G7" s="90"/>
      <c r="H7" s="90"/>
    </row>
    <row r="9" spans="1:8" x14ac:dyDescent="0.35">
      <c r="A9" s="282" t="s">
        <v>176</v>
      </c>
      <c r="B9" s="282"/>
      <c r="C9" s="282"/>
      <c r="D9" s="282"/>
      <c r="E9" s="282"/>
      <c r="F9" s="282"/>
      <c r="G9" s="282"/>
      <c r="H9" s="282"/>
    </row>
    <row r="10" spans="1:8" ht="28" x14ac:dyDescent="0.35">
      <c r="A10" s="154" t="s">
        <v>175</v>
      </c>
      <c r="B10" s="154" t="s">
        <v>172</v>
      </c>
      <c r="C10" s="154" t="s">
        <v>173</v>
      </c>
      <c r="D10" s="154" t="s">
        <v>755</v>
      </c>
      <c r="E10" s="154" t="s">
        <v>134</v>
      </c>
      <c r="F10" s="154" t="s">
        <v>135</v>
      </c>
      <c r="G10" s="155" t="s">
        <v>770</v>
      </c>
      <c r="H10" s="155" t="s">
        <v>760</v>
      </c>
    </row>
    <row r="11" spans="1:8" x14ac:dyDescent="0.35">
      <c r="A11" s="281">
        <v>1</v>
      </c>
      <c r="B11" s="156">
        <v>1</v>
      </c>
      <c r="C11" s="157" t="s">
        <v>130</v>
      </c>
      <c r="D11" s="156">
        <v>14354</v>
      </c>
      <c r="E11" s="156" t="s">
        <v>127</v>
      </c>
      <c r="F11" s="156">
        <v>1</v>
      </c>
      <c r="G11" s="158">
        <f>ROUND(Eletrotécnico!G161*F11,2)</f>
        <v>13124.36</v>
      </c>
      <c r="H11" s="158">
        <f>F11*G11*24</f>
        <v>314984.64</v>
      </c>
    </row>
    <row r="12" spans="1:8" x14ac:dyDescent="0.35">
      <c r="A12" s="281"/>
      <c r="B12" s="156">
        <v>2</v>
      </c>
      <c r="C12" s="157" t="s">
        <v>150</v>
      </c>
      <c r="D12" s="156">
        <v>20583</v>
      </c>
      <c r="E12" s="156" t="s">
        <v>127</v>
      </c>
      <c r="F12" s="156">
        <v>1</v>
      </c>
      <c r="G12" s="158">
        <f>ROUND('Técnico de Automação'!G159*F12,2)</f>
        <v>20134.939999999999</v>
      </c>
      <c r="H12" s="158">
        <f>F12*G12*24</f>
        <v>483238.55999999994</v>
      </c>
    </row>
    <row r="13" spans="1:8" x14ac:dyDescent="0.35">
      <c r="A13" s="281"/>
      <c r="B13" s="156">
        <v>3</v>
      </c>
      <c r="C13" s="157" t="s">
        <v>756</v>
      </c>
      <c r="D13" s="156">
        <v>2801</v>
      </c>
      <c r="E13" s="156" t="s">
        <v>127</v>
      </c>
      <c r="F13" s="156">
        <v>1</v>
      </c>
      <c r="G13" s="158">
        <f>ROUND('Técnico em Ar Cond'!G160*F13,2)</f>
        <v>10361.1</v>
      </c>
      <c r="H13" s="158">
        <f>F13*G13*24</f>
        <v>248666.40000000002</v>
      </c>
    </row>
    <row r="14" spans="1:8" x14ac:dyDescent="0.35">
      <c r="A14" s="281"/>
      <c r="B14" s="156">
        <v>4</v>
      </c>
      <c r="C14" s="157" t="s">
        <v>157</v>
      </c>
      <c r="D14" s="156">
        <v>22160</v>
      </c>
      <c r="E14" s="156" t="s">
        <v>127</v>
      </c>
      <c r="F14" s="156">
        <v>6</v>
      </c>
      <c r="G14" s="158">
        <f>ROUND(Artífice!G164*F14,2)</f>
        <v>51157.64</v>
      </c>
      <c r="H14" s="158">
        <f>G14*24</f>
        <v>1227783.3599999999</v>
      </c>
    </row>
    <row r="15" spans="1:8" x14ac:dyDescent="0.35">
      <c r="A15" s="281"/>
      <c r="B15" s="156">
        <v>5</v>
      </c>
      <c r="C15" s="157" t="s">
        <v>771</v>
      </c>
      <c r="D15" s="156">
        <v>1627</v>
      </c>
      <c r="E15" s="156" t="s">
        <v>174</v>
      </c>
      <c r="F15" s="156">
        <v>24</v>
      </c>
      <c r="G15" s="158">
        <f>ROUND('Custos de Viagens'!F7,2)</f>
        <v>6616.12</v>
      </c>
      <c r="H15" s="158">
        <f>F15*G15</f>
        <v>158786.88</v>
      </c>
    </row>
    <row r="16" spans="1:8" x14ac:dyDescent="0.35">
      <c r="A16" s="281"/>
      <c r="B16" s="156">
        <v>6</v>
      </c>
      <c r="C16" s="159" t="s">
        <v>757</v>
      </c>
      <c r="D16" s="156">
        <v>1627</v>
      </c>
      <c r="E16" s="156" t="s">
        <v>174</v>
      </c>
      <c r="F16" s="156">
        <v>24</v>
      </c>
      <c r="G16" s="158">
        <f>ROUND('Materiais e Peças'!F293,2)</f>
        <v>14464.71</v>
      </c>
      <c r="H16" s="158">
        <f>F16*G16</f>
        <v>347153.04</v>
      </c>
    </row>
    <row r="17" spans="1:8" x14ac:dyDescent="0.35">
      <c r="A17" s="281"/>
      <c r="B17" s="156">
        <v>7</v>
      </c>
      <c r="C17" s="159" t="s">
        <v>758</v>
      </c>
      <c r="D17" s="156">
        <v>1627</v>
      </c>
      <c r="E17" s="156" t="s">
        <v>174</v>
      </c>
      <c r="F17" s="156">
        <v>24</v>
      </c>
      <c r="G17" s="158">
        <f>ROUND('Serviços Eventuais'!F48,2)</f>
        <v>10643.98</v>
      </c>
      <c r="H17" s="158">
        <f>F17*G17</f>
        <v>255455.52</v>
      </c>
    </row>
    <row r="18" spans="1:8" x14ac:dyDescent="0.35">
      <c r="A18" s="281"/>
      <c r="B18" s="156">
        <v>8</v>
      </c>
      <c r="C18" s="159" t="s">
        <v>759</v>
      </c>
      <c r="D18" s="156">
        <v>1627</v>
      </c>
      <c r="E18" s="156" t="s">
        <v>174</v>
      </c>
      <c r="F18" s="156">
        <v>24</v>
      </c>
      <c r="G18" s="158">
        <f>ROUND('Serviços Especializados'!F16,2)</f>
        <v>3112.14</v>
      </c>
      <c r="H18" s="158">
        <f>F18*G18</f>
        <v>74691.360000000001</v>
      </c>
    </row>
    <row r="19" spans="1:8" x14ac:dyDescent="0.35">
      <c r="A19" s="283" t="s">
        <v>761</v>
      </c>
      <c r="B19" s="283"/>
      <c r="C19" s="283"/>
      <c r="D19" s="283"/>
      <c r="E19" s="283"/>
      <c r="F19" s="283"/>
      <c r="G19" s="283"/>
      <c r="H19" s="160">
        <f>SUM(H11:H18)</f>
        <v>3110759.76</v>
      </c>
    </row>
    <row r="20" spans="1:8" x14ac:dyDescent="0.35">
      <c r="A20" s="161"/>
      <c r="B20" s="161"/>
      <c r="C20" s="161"/>
      <c r="D20" s="161"/>
      <c r="E20" s="161"/>
      <c r="F20" s="161"/>
      <c r="G20" s="162"/>
      <c r="H20" s="162"/>
    </row>
    <row r="21" spans="1:8" x14ac:dyDescent="0.35">
      <c r="A21" s="161"/>
      <c r="B21" s="161"/>
      <c r="C21" s="161"/>
      <c r="D21" s="161"/>
      <c r="E21" s="161"/>
      <c r="F21" s="161"/>
      <c r="G21" s="162"/>
      <c r="H21" s="162"/>
    </row>
    <row r="22" spans="1:8" x14ac:dyDescent="0.35">
      <c r="A22" s="161"/>
      <c r="B22" s="284" t="s">
        <v>767</v>
      </c>
      <c r="C22" s="285"/>
      <c r="D22" s="285"/>
      <c r="E22" s="285"/>
      <c r="F22" s="285"/>
      <c r="G22" s="286"/>
      <c r="H22" s="162"/>
    </row>
    <row r="23" spans="1:8" ht="28" x14ac:dyDescent="0.35">
      <c r="A23" s="161"/>
      <c r="B23" s="163" t="s">
        <v>172</v>
      </c>
      <c r="C23" s="163" t="s">
        <v>766</v>
      </c>
      <c r="D23" s="163" t="s">
        <v>762</v>
      </c>
      <c r="E23" s="163" t="s">
        <v>763</v>
      </c>
      <c r="F23" s="163" t="s">
        <v>764</v>
      </c>
      <c r="G23" s="164" t="s">
        <v>765</v>
      </c>
      <c r="H23" s="162"/>
    </row>
    <row r="24" spans="1:8" x14ac:dyDescent="0.35">
      <c r="A24" s="161"/>
      <c r="B24" s="156">
        <v>1</v>
      </c>
      <c r="C24" s="157" t="s">
        <v>130</v>
      </c>
      <c r="D24" s="156" t="s">
        <v>126</v>
      </c>
      <c r="E24" s="156" t="s">
        <v>768</v>
      </c>
      <c r="F24" s="156">
        <v>1</v>
      </c>
      <c r="G24" s="156">
        <v>1</v>
      </c>
      <c r="H24" s="162"/>
    </row>
    <row r="25" spans="1:8" x14ac:dyDescent="0.35">
      <c r="A25" s="161"/>
      <c r="B25" s="156">
        <v>2</v>
      </c>
      <c r="C25" s="157" t="s">
        <v>150</v>
      </c>
      <c r="D25" s="156" t="s">
        <v>149</v>
      </c>
      <c r="E25" s="156" t="s">
        <v>769</v>
      </c>
      <c r="F25" s="156">
        <v>1</v>
      </c>
      <c r="G25" s="156">
        <v>2</v>
      </c>
      <c r="H25" s="162"/>
    </row>
    <row r="26" spans="1:8" x14ac:dyDescent="0.35">
      <c r="A26" s="161"/>
      <c r="B26" s="156">
        <v>3</v>
      </c>
      <c r="C26" s="157" t="s">
        <v>153</v>
      </c>
      <c r="D26" s="156" t="s">
        <v>154</v>
      </c>
      <c r="E26" s="156" t="s">
        <v>768</v>
      </c>
      <c r="F26" s="156">
        <v>1</v>
      </c>
      <c r="G26" s="156">
        <v>1</v>
      </c>
      <c r="H26" s="162"/>
    </row>
    <row r="27" spans="1:8" x14ac:dyDescent="0.35">
      <c r="A27" s="161"/>
      <c r="B27" s="156">
        <v>4</v>
      </c>
      <c r="C27" s="157" t="s">
        <v>157</v>
      </c>
      <c r="D27" s="156" t="s">
        <v>155</v>
      </c>
      <c r="E27" s="156" t="s">
        <v>768</v>
      </c>
      <c r="F27" s="156">
        <v>6</v>
      </c>
      <c r="G27" s="156">
        <v>1</v>
      </c>
      <c r="H27" s="162"/>
    </row>
    <row r="28" spans="1:8" x14ac:dyDescent="0.35">
      <c r="A28" s="161"/>
      <c r="B28" s="161"/>
      <c r="C28" s="161"/>
      <c r="D28" s="161"/>
      <c r="E28" s="161"/>
      <c r="F28" s="161"/>
      <c r="G28" s="162"/>
      <c r="H28" s="162"/>
    </row>
  </sheetData>
  <sheetProtection algorithmName="SHA-512" hashValue="gtj/FUjRz43gkzIh+GlNImSg3A5o+tQu8msFTbAq3Cox1ijYW+jaJtVN5LJgUPdfBsCvuY5UuoY/FrxMJbUHWg==" saltValue="7IS2rGXes7sMjHXJlXbaaA==" spinCount="100000" sheet="1" objects="1" scenarios="1"/>
  <mergeCells count="13">
    <mergeCell ref="A11:A18"/>
    <mergeCell ref="A9:H9"/>
    <mergeCell ref="A19:G19"/>
    <mergeCell ref="B22:G22"/>
    <mergeCell ref="A1:H1"/>
    <mergeCell ref="A3:H3"/>
    <mergeCell ref="A4:B4"/>
    <mergeCell ref="C4:F4"/>
    <mergeCell ref="A5:B5"/>
    <mergeCell ref="C5:D5"/>
    <mergeCell ref="A6:B6"/>
    <mergeCell ref="C6:D6"/>
    <mergeCell ref="F6:H6"/>
  </mergeCells>
  <conditionalFormatting sqref="G11">
    <cfRule type="cellIs" dxfId="541" priority="13" operator="greaterThan">
      <formula>13124.36</formula>
    </cfRule>
  </conditionalFormatting>
  <conditionalFormatting sqref="G12">
    <cfRule type="cellIs" dxfId="540" priority="12" operator="greaterThan">
      <formula>20134.94</formula>
    </cfRule>
    <cfRule type="cellIs" dxfId="539" priority="11" operator="greaterThan">
      <formula>20134.94</formula>
    </cfRule>
  </conditionalFormatting>
  <conditionalFormatting sqref="G13">
    <cfRule type="cellIs" dxfId="538" priority="10" operator="greaterThan">
      <formula>10361.1</formula>
    </cfRule>
  </conditionalFormatting>
  <conditionalFormatting sqref="G14">
    <cfRule type="cellIs" dxfId="537" priority="9" operator="greaterThan">
      <formula>51157.64</formula>
    </cfRule>
  </conditionalFormatting>
  <conditionalFormatting sqref="G15">
    <cfRule type="cellIs" dxfId="536" priority="8" operator="greaterThan">
      <formula>6616.12</formula>
    </cfRule>
  </conditionalFormatting>
  <conditionalFormatting sqref="G16">
    <cfRule type="cellIs" dxfId="535" priority="7" operator="greaterThan">
      <formula>14464.71</formula>
    </cfRule>
    <cfRule type="cellIs" dxfId="534" priority="6" operator="greaterThan">
      <formula>14464.71</formula>
    </cfRule>
    <cfRule type="cellIs" dxfId="533" priority="5" operator="greaterThan">
      <formula>14464.71</formula>
    </cfRule>
    <cfRule type="cellIs" dxfId="532" priority="4" operator="greaterThan">
      <formula>14464.71</formula>
    </cfRule>
    <cfRule type="cellIs" dxfId="531" priority="3" operator="greaterThan">
      <formula>14464.71</formula>
    </cfRule>
  </conditionalFormatting>
  <conditionalFormatting sqref="G17">
    <cfRule type="cellIs" dxfId="530" priority="2" operator="greaterThan">
      <formula>10643.98</formula>
    </cfRule>
  </conditionalFormatting>
  <conditionalFormatting sqref="G18">
    <cfRule type="cellIs" dxfId="529" priority="1" operator="greaterThan">
      <formula>3112.14</formula>
    </cfRule>
  </conditionalFormatting>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47BA7-1F6D-4454-ADBE-FEDFC9E2A5F8}">
  <sheetPr>
    <tabColor theme="3" tint="0.59999389629810485"/>
  </sheetPr>
  <dimension ref="A1:L166"/>
  <sheetViews>
    <sheetView topLeftCell="A2" zoomScale="90" zoomScaleNormal="90" workbookViewId="0">
      <selection activeCell="A2" sqref="A2:J2"/>
    </sheetView>
  </sheetViews>
  <sheetFormatPr defaultColWidth="8.7265625" defaultRowHeight="14.5" x14ac:dyDescent="0.35"/>
  <cols>
    <col min="1" max="1" width="8.7265625" style="1"/>
    <col min="2" max="2" width="13.26953125" style="1" customWidth="1"/>
    <col min="3" max="3" width="13.453125" style="1" customWidth="1"/>
    <col min="4" max="4" width="12.54296875" style="1" customWidth="1"/>
    <col min="5" max="5" width="13.453125" style="1" customWidth="1"/>
    <col min="6" max="6" width="12.81640625" style="1" customWidth="1"/>
    <col min="7" max="7" width="8.7265625" style="1"/>
    <col min="8" max="8" width="11.54296875" style="1" bestFit="1" customWidth="1"/>
    <col min="9" max="9" width="13" style="1" bestFit="1" customWidth="1"/>
    <col min="10" max="10" width="9.81640625" style="1" bestFit="1" customWidth="1"/>
    <col min="11" max="11" width="8.7265625" style="1"/>
    <col min="12" max="12" width="10.453125" style="1" bestFit="1" customWidth="1"/>
    <col min="13" max="16384" width="8.7265625" style="1"/>
  </cols>
  <sheetData>
    <row r="1" spans="1:10" x14ac:dyDescent="0.35">
      <c r="A1" s="375" t="s">
        <v>0</v>
      </c>
      <c r="B1" s="375"/>
      <c r="C1" s="375"/>
      <c r="D1" s="375"/>
      <c r="E1" s="375"/>
      <c r="F1" s="375"/>
      <c r="G1" s="375"/>
      <c r="H1" s="375"/>
      <c r="I1" s="375"/>
      <c r="J1" s="375"/>
    </row>
    <row r="2" spans="1:10" x14ac:dyDescent="0.35">
      <c r="A2" s="375" t="s">
        <v>1</v>
      </c>
      <c r="B2" s="375"/>
      <c r="C2" s="375"/>
      <c r="D2" s="375"/>
      <c r="E2" s="375"/>
      <c r="F2" s="375"/>
      <c r="G2" s="375"/>
      <c r="H2" s="375"/>
      <c r="I2" s="375"/>
      <c r="J2" s="375"/>
    </row>
    <row r="3" spans="1:10" x14ac:dyDescent="0.35">
      <c r="A3" s="2"/>
      <c r="B3" s="342"/>
      <c r="C3" s="342"/>
      <c r="D3" s="342"/>
      <c r="E3" s="342"/>
      <c r="F3" s="342"/>
      <c r="G3" s="342"/>
      <c r="H3" s="342"/>
      <c r="I3" s="342"/>
      <c r="J3" s="342"/>
    </row>
    <row r="4" spans="1:10" x14ac:dyDescent="0.35">
      <c r="A4" s="440" t="s">
        <v>124</v>
      </c>
      <c r="B4" s="440"/>
      <c r="C4" s="440"/>
      <c r="D4" s="441" t="s">
        <v>171</v>
      </c>
      <c r="E4" s="441"/>
      <c r="F4" s="441"/>
      <c r="G4" s="441"/>
      <c r="H4" s="441"/>
      <c r="I4" s="441"/>
      <c r="J4" s="441"/>
    </row>
    <row r="5" spans="1:10" x14ac:dyDescent="0.35">
      <c r="A5" s="440" t="s">
        <v>168</v>
      </c>
      <c r="B5" s="442"/>
      <c r="C5" s="442"/>
      <c r="D5" s="441" t="s">
        <v>903</v>
      </c>
      <c r="E5" s="441"/>
      <c r="F5" s="441"/>
      <c r="G5" s="441"/>
      <c r="H5" s="441"/>
      <c r="I5" s="441"/>
      <c r="J5" s="441"/>
    </row>
    <row r="6" spans="1:10" x14ac:dyDescent="0.35">
      <c r="A6" s="440" t="s">
        <v>169</v>
      </c>
      <c r="B6" s="440"/>
      <c r="C6" s="440"/>
      <c r="D6" s="443"/>
      <c r="E6" s="443"/>
      <c r="F6" s="443"/>
      <c r="G6" s="443"/>
      <c r="H6" s="443"/>
      <c r="I6" s="443"/>
      <c r="J6" s="443"/>
    </row>
    <row r="7" spans="1:10" x14ac:dyDescent="0.35">
      <c r="A7" s="440" t="s">
        <v>170</v>
      </c>
      <c r="B7" s="440"/>
      <c r="C7" s="440"/>
      <c r="D7" s="443"/>
      <c r="E7" s="443"/>
      <c r="F7" s="443"/>
      <c r="G7" s="443"/>
      <c r="H7" s="443"/>
      <c r="I7" s="443"/>
      <c r="J7" s="443"/>
    </row>
    <row r="8" spans="1:10" x14ac:dyDescent="0.35">
      <c r="A8" s="376"/>
      <c r="B8" s="376"/>
      <c r="C8" s="376"/>
      <c r="D8" s="376"/>
      <c r="E8" s="376"/>
      <c r="F8" s="376"/>
      <c r="G8" s="376"/>
      <c r="H8" s="376"/>
      <c r="I8" s="376"/>
      <c r="J8" s="376"/>
    </row>
    <row r="9" spans="1:10" x14ac:dyDescent="0.35">
      <c r="A9" s="375" t="s">
        <v>2</v>
      </c>
      <c r="B9" s="375"/>
      <c r="C9" s="375"/>
      <c r="D9" s="375"/>
      <c r="E9" s="375"/>
      <c r="F9" s="375"/>
      <c r="G9" s="375"/>
      <c r="H9" s="375"/>
      <c r="I9" s="375"/>
      <c r="J9" s="375"/>
    </row>
    <row r="10" spans="1:10" x14ac:dyDescent="0.35">
      <c r="A10" s="422"/>
      <c r="B10" s="422"/>
      <c r="C10" s="422"/>
      <c r="D10" s="422"/>
      <c r="E10" s="422"/>
      <c r="F10" s="422"/>
      <c r="G10" s="422"/>
      <c r="H10" s="422"/>
      <c r="I10" s="422"/>
      <c r="J10" s="422"/>
    </row>
    <row r="11" spans="1:10" x14ac:dyDescent="0.35">
      <c r="A11" s="3" t="s">
        <v>3</v>
      </c>
      <c r="B11" s="436" t="s">
        <v>4</v>
      </c>
      <c r="C11" s="436"/>
      <c r="D11" s="436"/>
      <c r="E11" s="436"/>
      <c r="F11" s="436"/>
      <c r="G11" s="332"/>
      <c r="H11" s="332"/>
      <c r="I11" s="332"/>
      <c r="J11" s="332"/>
    </row>
    <row r="12" spans="1:10" x14ac:dyDescent="0.35">
      <c r="A12" s="3" t="s">
        <v>5</v>
      </c>
      <c r="B12" s="436" t="s">
        <v>6</v>
      </c>
      <c r="C12" s="436"/>
      <c r="D12" s="436"/>
      <c r="E12" s="436"/>
      <c r="F12" s="436"/>
      <c r="G12" s="332" t="s">
        <v>125</v>
      </c>
      <c r="H12" s="332"/>
      <c r="I12" s="332"/>
      <c r="J12" s="332"/>
    </row>
    <row r="13" spans="1:10" ht="14.5" customHeight="1" x14ac:dyDescent="0.35">
      <c r="A13" s="3" t="s">
        <v>7</v>
      </c>
      <c r="B13" s="436" t="s">
        <v>8</v>
      </c>
      <c r="C13" s="436"/>
      <c r="D13" s="436"/>
      <c r="E13" s="436"/>
      <c r="F13" s="436"/>
      <c r="G13" s="437" t="s">
        <v>167</v>
      </c>
      <c r="H13" s="438"/>
      <c r="I13" s="438"/>
      <c r="J13" s="439"/>
    </row>
    <row r="14" spans="1:10" x14ac:dyDescent="0.35">
      <c r="A14" s="3" t="s">
        <v>9</v>
      </c>
      <c r="B14" s="436" t="s">
        <v>10</v>
      </c>
      <c r="C14" s="436"/>
      <c r="D14" s="436"/>
      <c r="E14" s="436"/>
      <c r="F14" s="436"/>
      <c r="G14" s="332" t="s">
        <v>11</v>
      </c>
      <c r="H14" s="332"/>
      <c r="I14" s="332"/>
      <c r="J14" s="332"/>
    </row>
    <row r="15" spans="1:10" x14ac:dyDescent="0.35">
      <c r="A15" s="422"/>
      <c r="B15" s="422"/>
      <c r="C15" s="422"/>
      <c r="D15" s="422"/>
      <c r="E15" s="422"/>
      <c r="F15" s="422"/>
      <c r="G15" s="422"/>
      <c r="H15" s="422"/>
      <c r="I15" s="422"/>
      <c r="J15" s="422"/>
    </row>
    <row r="16" spans="1:10" x14ac:dyDescent="0.35">
      <c r="A16" s="375" t="s">
        <v>12</v>
      </c>
      <c r="B16" s="375"/>
      <c r="C16" s="375"/>
      <c r="D16" s="375"/>
      <c r="E16" s="375"/>
      <c r="F16" s="375"/>
      <c r="G16" s="375"/>
      <c r="H16" s="375"/>
      <c r="I16" s="375"/>
      <c r="J16" s="375"/>
    </row>
    <row r="17" spans="1:12" x14ac:dyDescent="0.35">
      <c r="A17" s="422"/>
      <c r="B17" s="422"/>
      <c r="C17" s="422"/>
      <c r="D17" s="422"/>
      <c r="E17" s="422"/>
      <c r="F17" s="422"/>
      <c r="G17" s="422"/>
      <c r="H17" s="422"/>
      <c r="I17" s="422"/>
      <c r="J17" s="422"/>
    </row>
    <row r="18" spans="1:12" x14ac:dyDescent="0.35">
      <c r="A18" s="424" t="s">
        <v>13</v>
      </c>
      <c r="B18" s="424"/>
      <c r="C18" s="424"/>
      <c r="D18" s="332" t="s">
        <v>14</v>
      </c>
      <c r="E18" s="332"/>
      <c r="F18" s="332" t="s">
        <v>15</v>
      </c>
      <c r="G18" s="332"/>
      <c r="H18" s="332"/>
      <c r="I18" s="332"/>
      <c r="J18" s="332"/>
    </row>
    <row r="19" spans="1:12" x14ac:dyDescent="0.35">
      <c r="A19" s="419" t="s">
        <v>130</v>
      </c>
      <c r="B19" s="419"/>
      <c r="C19" s="419"/>
      <c r="D19" s="444" t="s">
        <v>127</v>
      </c>
      <c r="E19" s="445"/>
      <c r="F19" s="446">
        <v>1</v>
      </c>
      <c r="G19" s="446"/>
      <c r="H19" s="446"/>
      <c r="I19" s="446"/>
      <c r="J19" s="446"/>
    </row>
    <row r="20" spans="1:12" x14ac:dyDescent="0.35">
      <c r="A20" s="422"/>
      <c r="B20" s="422"/>
      <c r="C20" s="422"/>
      <c r="D20" s="422"/>
      <c r="E20" s="422"/>
      <c r="F20" s="422"/>
      <c r="G20" s="422"/>
      <c r="H20" s="422"/>
      <c r="I20" s="422"/>
      <c r="J20" s="422"/>
    </row>
    <row r="21" spans="1:12" x14ac:dyDescent="0.35">
      <c r="A21" s="375" t="s">
        <v>16</v>
      </c>
      <c r="B21" s="375"/>
      <c r="C21" s="375"/>
      <c r="D21" s="375"/>
      <c r="E21" s="375"/>
      <c r="F21" s="375"/>
      <c r="G21" s="375"/>
      <c r="H21" s="375"/>
      <c r="I21" s="375"/>
      <c r="J21" s="375"/>
    </row>
    <row r="22" spans="1:12" x14ac:dyDescent="0.35">
      <c r="A22" s="392"/>
      <c r="B22" s="392"/>
      <c r="C22" s="392"/>
      <c r="D22" s="392"/>
      <c r="E22" s="392"/>
      <c r="F22" s="392"/>
      <c r="G22" s="392"/>
      <c r="H22" s="392"/>
      <c r="I22" s="392"/>
      <c r="J22" s="392"/>
    </row>
    <row r="23" spans="1:12" x14ac:dyDescent="0.35">
      <c r="A23" s="4" t="s">
        <v>17</v>
      </c>
      <c r="B23" s="335" t="s">
        <v>18</v>
      </c>
      <c r="C23" s="335"/>
      <c r="D23" s="335"/>
      <c r="E23" s="335"/>
      <c r="F23" s="335"/>
      <c r="G23" s="424" t="s">
        <v>130</v>
      </c>
      <c r="H23" s="424"/>
      <c r="I23" s="424"/>
      <c r="J23" s="424"/>
      <c r="L23" s="22"/>
    </row>
    <row r="24" spans="1:12" x14ac:dyDescent="0.35">
      <c r="A24" s="4" t="s">
        <v>19</v>
      </c>
      <c r="B24" s="335" t="s">
        <v>20</v>
      </c>
      <c r="C24" s="335"/>
      <c r="D24" s="335"/>
      <c r="E24" s="335"/>
      <c r="F24" s="335"/>
      <c r="G24" s="424" t="s">
        <v>126</v>
      </c>
      <c r="H24" s="424"/>
      <c r="I24" s="424"/>
      <c r="J24" s="424"/>
    </row>
    <row r="25" spans="1:12" x14ac:dyDescent="0.35">
      <c r="A25" s="4" t="s">
        <v>21</v>
      </c>
      <c r="B25" s="335" t="s">
        <v>22</v>
      </c>
      <c r="C25" s="335"/>
      <c r="D25" s="335"/>
      <c r="E25" s="335"/>
      <c r="F25" s="335"/>
      <c r="G25" s="426">
        <v>3350.96</v>
      </c>
      <c r="H25" s="426"/>
      <c r="I25" s="426"/>
      <c r="J25" s="426"/>
    </row>
    <row r="26" spans="1:12" x14ac:dyDescent="0.35">
      <c r="A26" s="4" t="s">
        <v>23</v>
      </c>
      <c r="B26" s="335" t="s">
        <v>24</v>
      </c>
      <c r="C26" s="335"/>
      <c r="D26" s="335"/>
      <c r="E26" s="335"/>
      <c r="F26" s="335"/>
      <c r="G26" s="424" t="s">
        <v>128</v>
      </c>
      <c r="H26" s="424"/>
      <c r="I26" s="424"/>
      <c r="J26" s="424"/>
    </row>
    <row r="27" spans="1:12" x14ac:dyDescent="0.35">
      <c r="A27" s="4" t="s">
        <v>25</v>
      </c>
      <c r="B27" s="335" t="s">
        <v>26</v>
      </c>
      <c r="C27" s="335"/>
      <c r="D27" s="335"/>
      <c r="E27" s="335"/>
      <c r="F27" s="335"/>
      <c r="G27" s="425">
        <v>45292</v>
      </c>
      <c r="H27" s="425"/>
      <c r="I27" s="425"/>
      <c r="J27" s="425"/>
    </row>
    <row r="28" spans="1:12" x14ac:dyDescent="0.35">
      <c r="A28" s="389"/>
      <c r="B28" s="389"/>
      <c r="C28" s="389"/>
      <c r="D28" s="389"/>
      <c r="E28" s="389"/>
      <c r="F28" s="389"/>
      <c r="G28" s="389"/>
      <c r="H28" s="389"/>
      <c r="I28" s="389"/>
      <c r="J28" s="389"/>
    </row>
    <row r="29" spans="1:12" x14ac:dyDescent="0.35">
      <c r="A29" s="375" t="s">
        <v>27</v>
      </c>
      <c r="B29" s="375"/>
      <c r="C29" s="375"/>
      <c r="D29" s="375"/>
      <c r="E29" s="375"/>
      <c r="F29" s="375"/>
      <c r="G29" s="375"/>
      <c r="H29" s="375"/>
      <c r="I29" s="375"/>
      <c r="J29" s="375"/>
    </row>
    <row r="30" spans="1:12" x14ac:dyDescent="0.35">
      <c r="A30" s="392"/>
      <c r="B30" s="392"/>
      <c r="C30" s="392"/>
      <c r="D30" s="392"/>
      <c r="E30" s="392"/>
      <c r="F30" s="392"/>
      <c r="G30" s="392"/>
      <c r="H30" s="392"/>
      <c r="I30" s="392"/>
      <c r="J30" s="392"/>
    </row>
    <row r="31" spans="1:12" x14ac:dyDescent="0.35">
      <c r="A31" s="5">
        <v>1</v>
      </c>
      <c r="B31" s="372" t="s">
        <v>28</v>
      </c>
      <c r="C31" s="372"/>
      <c r="D31" s="372"/>
      <c r="E31" s="372"/>
      <c r="F31" s="372"/>
      <c r="G31" s="423" t="s">
        <v>29</v>
      </c>
      <c r="H31" s="423"/>
      <c r="I31" s="423"/>
      <c r="J31" s="423"/>
    </row>
    <row r="32" spans="1:12" x14ac:dyDescent="0.35">
      <c r="A32" s="6" t="s">
        <v>3</v>
      </c>
      <c r="B32" s="365" t="s">
        <v>30</v>
      </c>
      <c r="C32" s="365"/>
      <c r="D32" s="365"/>
      <c r="E32" s="365"/>
      <c r="F32" s="365"/>
      <c r="G32" s="336">
        <f>G25</f>
        <v>3350.96</v>
      </c>
      <c r="H32" s="336"/>
      <c r="I32" s="336"/>
      <c r="J32" s="336"/>
    </row>
    <row r="33" spans="1:10" x14ac:dyDescent="0.35">
      <c r="A33" s="6" t="s">
        <v>5</v>
      </c>
      <c r="B33" s="365" t="s">
        <v>31</v>
      </c>
      <c r="C33" s="365"/>
      <c r="D33" s="365"/>
      <c r="E33" s="365"/>
      <c r="F33" s="365"/>
      <c r="G33" s="336">
        <f>G32*30%</f>
        <v>1005.288</v>
      </c>
      <c r="H33" s="336"/>
      <c r="I33" s="336"/>
      <c r="J33" s="336"/>
    </row>
    <row r="34" spans="1:10" x14ac:dyDescent="0.35">
      <c r="A34" s="6" t="s">
        <v>7</v>
      </c>
      <c r="B34" s="429" t="s">
        <v>129</v>
      </c>
      <c r="C34" s="430"/>
      <c r="D34" s="430"/>
      <c r="E34" s="430"/>
      <c r="F34" s="431"/>
      <c r="G34" s="432">
        <f>G32*40%</f>
        <v>1340.384</v>
      </c>
      <c r="H34" s="433"/>
      <c r="I34" s="433"/>
      <c r="J34" s="434"/>
    </row>
    <row r="35" spans="1:10" x14ac:dyDescent="0.35">
      <c r="A35" s="6" t="s">
        <v>9</v>
      </c>
      <c r="B35" s="435" t="s">
        <v>32</v>
      </c>
      <c r="C35" s="435"/>
      <c r="D35" s="435"/>
      <c r="E35" s="435"/>
      <c r="F35" s="435"/>
      <c r="G35" s="336">
        <v>0</v>
      </c>
      <c r="H35" s="336"/>
      <c r="I35" s="336"/>
      <c r="J35" s="336"/>
    </row>
    <row r="36" spans="1:10" x14ac:dyDescent="0.35">
      <c r="A36" s="372" t="s">
        <v>33</v>
      </c>
      <c r="B36" s="372"/>
      <c r="C36" s="372"/>
      <c r="D36" s="372"/>
      <c r="E36" s="372"/>
      <c r="F36" s="372"/>
      <c r="G36" s="333">
        <f>SUM(G32:J35)</f>
        <v>5696.6319999999996</v>
      </c>
      <c r="H36" s="333"/>
      <c r="I36" s="333"/>
      <c r="J36" s="333"/>
    </row>
    <row r="37" spans="1:10" x14ac:dyDescent="0.35">
      <c r="A37" s="389"/>
      <c r="B37" s="389"/>
      <c r="C37" s="389"/>
      <c r="D37" s="389"/>
      <c r="E37" s="389"/>
      <c r="F37" s="389"/>
      <c r="G37" s="389"/>
      <c r="H37" s="389"/>
      <c r="I37" s="389"/>
      <c r="J37" s="389"/>
    </row>
    <row r="38" spans="1:10" x14ac:dyDescent="0.35">
      <c r="A38" s="375" t="s">
        <v>34</v>
      </c>
      <c r="B38" s="375"/>
      <c r="C38" s="375"/>
      <c r="D38" s="375"/>
      <c r="E38" s="375"/>
      <c r="F38" s="375"/>
      <c r="G38" s="375"/>
      <c r="H38" s="375"/>
      <c r="I38" s="375"/>
      <c r="J38" s="375"/>
    </row>
    <row r="39" spans="1:10" x14ac:dyDescent="0.35">
      <c r="A39" s="376"/>
      <c r="B39" s="376"/>
      <c r="C39" s="376"/>
      <c r="D39" s="376"/>
      <c r="E39" s="376"/>
      <c r="F39" s="376"/>
      <c r="G39" s="376"/>
      <c r="H39" s="376"/>
      <c r="I39" s="376"/>
      <c r="J39" s="376"/>
    </row>
    <row r="40" spans="1:10" x14ac:dyDescent="0.35">
      <c r="A40" s="377" t="s">
        <v>35</v>
      </c>
      <c r="B40" s="377"/>
      <c r="C40" s="377"/>
      <c r="D40" s="377"/>
      <c r="E40" s="377"/>
      <c r="F40" s="377"/>
      <c r="G40" s="377"/>
      <c r="H40" s="377"/>
      <c r="I40" s="377"/>
      <c r="J40" s="377"/>
    </row>
    <row r="41" spans="1:10" x14ac:dyDescent="0.35">
      <c r="A41" s="427" t="s">
        <v>36</v>
      </c>
      <c r="B41" s="427"/>
      <c r="C41" s="427"/>
      <c r="D41" s="427"/>
      <c r="E41" s="427"/>
      <c r="F41" s="427"/>
      <c r="G41" s="428">
        <f>G36</f>
        <v>5696.6319999999996</v>
      </c>
      <c r="H41" s="428"/>
      <c r="I41" s="428"/>
      <c r="J41" s="428"/>
    </row>
    <row r="42" spans="1:10" x14ac:dyDescent="0.35">
      <c r="A42" s="392"/>
      <c r="B42" s="392"/>
      <c r="C42" s="392"/>
      <c r="D42" s="392"/>
      <c r="E42" s="392"/>
      <c r="F42" s="392"/>
      <c r="G42" s="392"/>
      <c r="H42" s="392"/>
      <c r="I42" s="392"/>
      <c r="J42" s="392"/>
    </row>
    <row r="43" spans="1:10" x14ac:dyDescent="0.35">
      <c r="A43" s="4" t="s">
        <v>37</v>
      </c>
      <c r="B43" s="332" t="s">
        <v>38</v>
      </c>
      <c r="C43" s="332"/>
      <c r="D43" s="332"/>
      <c r="E43" s="332"/>
      <c r="F43" s="332"/>
      <c r="G43" s="332" t="s">
        <v>39</v>
      </c>
      <c r="H43" s="332"/>
      <c r="I43" s="372" t="s">
        <v>29</v>
      </c>
      <c r="J43" s="372"/>
    </row>
    <row r="44" spans="1:10" x14ac:dyDescent="0.35">
      <c r="A44" s="7" t="s">
        <v>3</v>
      </c>
      <c r="B44" s="335" t="s">
        <v>40</v>
      </c>
      <c r="C44" s="335"/>
      <c r="D44" s="335"/>
      <c r="E44" s="335"/>
      <c r="F44" s="335"/>
      <c r="G44" s="411">
        <v>8.3299999999999999E-2</v>
      </c>
      <c r="H44" s="411"/>
      <c r="I44" s="421">
        <f>G41*G44</f>
        <v>474.52944559999997</v>
      </c>
      <c r="J44" s="421"/>
    </row>
    <row r="45" spans="1:10" x14ac:dyDescent="0.35">
      <c r="A45" s="7" t="s">
        <v>5</v>
      </c>
      <c r="B45" s="335" t="s">
        <v>41</v>
      </c>
      <c r="C45" s="335"/>
      <c r="D45" s="335"/>
      <c r="E45" s="335"/>
      <c r="F45" s="335"/>
      <c r="G45" s="373">
        <v>2.7799999999999998E-2</v>
      </c>
      <c r="H45" s="373"/>
      <c r="I45" s="421">
        <f>G41*G45</f>
        <v>158.36636959999998</v>
      </c>
      <c r="J45" s="421"/>
    </row>
    <row r="46" spans="1:10" x14ac:dyDescent="0.35">
      <c r="A46" s="332" t="s">
        <v>33</v>
      </c>
      <c r="B46" s="332"/>
      <c r="C46" s="332"/>
      <c r="D46" s="332"/>
      <c r="E46" s="332"/>
      <c r="F46" s="332"/>
      <c r="G46" s="411">
        <f>SUM(G44:H45)</f>
        <v>0.1111</v>
      </c>
      <c r="H46" s="419"/>
      <c r="I46" s="420">
        <f>SUM(I44:J45)</f>
        <v>632.89581520000002</v>
      </c>
      <c r="J46" s="420"/>
    </row>
    <row r="47" spans="1:10" x14ac:dyDescent="0.35">
      <c r="A47" s="342"/>
      <c r="B47" s="342"/>
      <c r="C47" s="342"/>
      <c r="D47" s="342"/>
      <c r="E47" s="342"/>
      <c r="F47" s="342"/>
      <c r="G47" s="342"/>
      <c r="H47" s="342"/>
      <c r="I47" s="342"/>
      <c r="J47" s="342"/>
    </row>
    <row r="48" spans="1:10" x14ac:dyDescent="0.35">
      <c r="A48" s="414" t="s">
        <v>42</v>
      </c>
      <c r="B48" s="414"/>
      <c r="C48" s="414"/>
      <c r="D48" s="414"/>
      <c r="E48" s="414"/>
      <c r="F48" s="414"/>
      <c r="G48" s="414"/>
      <c r="H48" s="414"/>
      <c r="I48" s="414"/>
      <c r="J48" s="414"/>
    </row>
    <row r="49" spans="1:10" x14ac:dyDescent="0.35">
      <c r="A49" s="378" t="s">
        <v>43</v>
      </c>
      <c r="B49" s="378"/>
      <c r="C49" s="378"/>
      <c r="D49" s="378"/>
      <c r="E49" s="378"/>
      <c r="F49" s="378"/>
      <c r="G49" s="415">
        <f>G36+I46</f>
        <v>6329.5278151999992</v>
      </c>
      <c r="H49" s="415"/>
      <c r="I49" s="415"/>
      <c r="J49" s="415"/>
    </row>
    <row r="50" spans="1:10" x14ac:dyDescent="0.35">
      <c r="A50" s="416"/>
      <c r="B50" s="416"/>
      <c r="C50" s="416"/>
      <c r="D50" s="416"/>
      <c r="E50" s="416"/>
      <c r="F50" s="416"/>
      <c r="G50" s="416"/>
      <c r="H50" s="416"/>
      <c r="I50" s="416"/>
      <c r="J50" s="416"/>
    </row>
    <row r="51" spans="1:10" x14ac:dyDescent="0.35">
      <c r="A51" s="8" t="s">
        <v>44</v>
      </c>
      <c r="B51" s="417" t="s">
        <v>45</v>
      </c>
      <c r="C51" s="417"/>
      <c r="D51" s="417"/>
      <c r="E51" s="417"/>
      <c r="F51" s="417"/>
      <c r="G51" s="371" t="s">
        <v>39</v>
      </c>
      <c r="H51" s="371"/>
      <c r="I51" s="418" t="s">
        <v>29</v>
      </c>
      <c r="J51" s="418"/>
    </row>
    <row r="52" spans="1:10" x14ac:dyDescent="0.35">
      <c r="A52" s="7" t="s">
        <v>3</v>
      </c>
      <c r="B52" s="335" t="s">
        <v>46</v>
      </c>
      <c r="C52" s="335"/>
      <c r="D52" s="335"/>
      <c r="E52" s="335"/>
      <c r="F52" s="335"/>
      <c r="G52" s="366">
        <v>0.2</v>
      </c>
      <c r="H52" s="366"/>
      <c r="I52" s="340">
        <f>G49*G52</f>
        <v>1265.9055630399998</v>
      </c>
      <c r="J52" s="340"/>
    </row>
    <row r="53" spans="1:10" x14ac:dyDescent="0.35">
      <c r="A53" s="7" t="s">
        <v>5</v>
      </c>
      <c r="B53" s="335" t="s">
        <v>47</v>
      </c>
      <c r="C53" s="335"/>
      <c r="D53" s="335"/>
      <c r="E53" s="335"/>
      <c r="F53" s="335"/>
      <c r="G53" s="411">
        <v>2.5000000000000001E-2</v>
      </c>
      <c r="H53" s="411"/>
      <c r="I53" s="340">
        <f>G49*G53</f>
        <v>158.23819537999998</v>
      </c>
      <c r="J53" s="340"/>
    </row>
    <row r="54" spans="1:10" x14ac:dyDescent="0.35">
      <c r="A54" s="7" t="s">
        <v>7</v>
      </c>
      <c r="B54" s="412" t="s">
        <v>48</v>
      </c>
      <c r="C54" s="412"/>
      <c r="D54" s="412"/>
      <c r="E54" s="412"/>
      <c r="F54" s="412"/>
      <c r="G54" s="413">
        <v>0.03</v>
      </c>
      <c r="H54" s="413"/>
      <c r="I54" s="340">
        <f>G49*G54</f>
        <v>189.88583445599997</v>
      </c>
      <c r="J54" s="340"/>
    </row>
    <row r="55" spans="1:10" x14ac:dyDescent="0.35">
      <c r="A55" s="7" t="s">
        <v>9</v>
      </c>
      <c r="B55" s="335" t="s">
        <v>49</v>
      </c>
      <c r="C55" s="335"/>
      <c r="D55" s="335"/>
      <c r="E55" s="335"/>
      <c r="F55" s="335"/>
      <c r="G55" s="411">
        <v>1.4999999999999999E-2</v>
      </c>
      <c r="H55" s="411"/>
      <c r="I55" s="340">
        <f>G49*G55</f>
        <v>94.942917227999985</v>
      </c>
      <c r="J55" s="340"/>
    </row>
    <row r="56" spans="1:10" x14ac:dyDescent="0.35">
      <c r="A56" s="7" t="s">
        <v>50</v>
      </c>
      <c r="B56" s="335" t="s">
        <v>51</v>
      </c>
      <c r="C56" s="335"/>
      <c r="D56" s="335"/>
      <c r="E56" s="335"/>
      <c r="F56" s="335"/>
      <c r="G56" s="411">
        <v>0.01</v>
      </c>
      <c r="H56" s="411"/>
      <c r="I56" s="340">
        <f>G49*G56</f>
        <v>63.295278151999995</v>
      </c>
      <c r="J56" s="340"/>
    </row>
    <row r="57" spans="1:10" x14ac:dyDescent="0.35">
      <c r="A57" s="7" t="s">
        <v>52</v>
      </c>
      <c r="B57" s="335" t="s">
        <v>53</v>
      </c>
      <c r="C57" s="335"/>
      <c r="D57" s="335"/>
      <c r="E57" s="335"/>
      <c r="F57" s="335"/>
      <c r="G57" s="411">
        <v>6.0000000000000001E-3</v>
      </c>
      <c r="H57" s="411"/>
      <c r="I57" s="340">
        <f>G49*G57</f>
        <v>37.977166891199992</v>
      </c>
      <c r="J57" s="340"/>
    </row>
    <row r="58" spans="1:10" x14ac:dyDescent="0.35">
      <c r="A58" s="7" t="s">
        <v>54</v>
      </c>
      <c r="B58" s="335" t="s">
        <v>55</v>
      </c>
      <c r="C58" s="335"/>
      <c r="D58" s="335"/>
      <c r="E58" s="335"/>
      <c r="F58" s="335"/>
      <c r="G58" s="411">
        <v>2E-3</v>
      </c>
      <c r="H58" s="411"/>
      <c r="I58" s="340">
        <f>G49*G58</f>
        <v>12.659055630399999</v>
      </c>
      <c r="J58" s="340"/>
    </row>
    <row r="59" spans="1:10" x14ac:dyDescent="0.35">
      <c r="A59" s="7" t="s">
        <v>56</v>
      </c>
      <c r="B59" s="335" t="s">
        <v>57</v>
      </c>
      <c r="C59" s="335"/>
      <c r="D59" s="335"/>
      <c r="E59" s="335"/>
      <c r="F59" s="335"/>
      <c r="G59" s="411">
        <v>0.08</v>
      </c>
      <c r="H59" s="411"/>
      <c r="I59" s="340">
        <f>G49*G59</f>
        <v>506.36222521599996</v>
      </c>
      <c r="J59" s="340"/>
    </row>
    <row r="60" spans="1:10" x14ac:dyDescent="0.35">
      <c r="A60" s="332" t="s">
        <v>58</v>
      </c>
      <c r="B60" s="332"/>
      <c r="C60" s="332"/>
      <c r="D60" s="332"/>
      <c r="E60" s="332"/>
      <c r="F60" s="332"/>
      <c r="G60" s="410">
        <f>SUM(G52:H59)</f>
        <v>0.36800000000000005</v>
      </c>
      <c r="H60" s="332"/>
      <c r="I60" s="341">
        <f>SUM(I52:J59)</f>
        <v>2329.2662359935994</v>
      </c>
      <c r="J60" s="341"/>
    </row>
    <row r="61" spans="1:10" x14ac:dyDescent="0.35">
      <c r="A61" s="389"/>
      <c r="B61" s="389"/>
      <c r="C61" s="389"/>
      <c r="D61" s="389"/>
      <c r="E61" s="389"/>
      <c r="F61" s="389"/>
      <c r="G61" s="389"/>
      <c r="H61" s="389"/>
      <c r="I61" s="389"/>
      <c r="J61" s="389"/>
    </row>
    <row r="62" spans="1:10" x14ac:dyDescent="0.35">
      <c r="A62" s="377" t="s">
        <v>59</v>
      </c>
      <c r="B62" s="377"/>
      <c r="C62" s="377"/>
      <c r="D62" s="377"/>
      <c r="E62" s="377"/>
      <c r="F62" s="377"/>
      <c r="G62" s="377"/>
      <c r="H62" s="377"/>
      <c r="I62" s="377"/>
      <c r="J62" s="377"/>
    </row>
    <row r="63" spans="1:10" x14ac:dyDescent="0.35">
      <c r="A63" s="392"/>
      <c r="B63" s="392"/>
      <c r="C63" s="392"/>
      <c r="D63" s="392"/>
      <c r="E63" s="392"/>
      <c r="F63" s="392"/>
      <c r="G63" s="392"/>
      <c r="H63" s="392"/>
      <c r="I63" s="392"/>
      <c r="J63" s="392"/>
    </row>
    <row r="64" spans="1:10" ht="14.5" customHeight="1" x14ac:dyDescent="0.35">
      <c r="A64" s="9" t="s">
        <v>60</v>
      </c>
      <c r="B64" s="292" t="s">
        <v>61</v>
      </c>
      <c r="C64" s="292"/>
      <c r="D64" s="292"/>
      <c r="E64" s="292"/>
      <c r="F64" s="292"/>
      <c r="G64" s="406" t="s">
        <v>62</v>
      </c>
      <c r="H64" s="407"/>
      <c r="I64" s="298" t="s">
        <v>29</v>
      </c>
      <c r="J64" s="300"/>
    </row>
    <row r="65" spans="1:10" x14ac:dyDescent="0.35">
      <c r="A65" s="10" t="s">
        <v>3</v>
      </c>
      <c r="B65" s="293" t="s">
        <v>63</v>
      </c>
      <c r="C65" s="293"/>
      <c r="D65" s="293"/>
      <c r="E65" s="293"/>
      <c r="F65" s="293"/>
      <c r="G65" s="404">
        <v>0.06</v>
      </c>
      <c r="H65" s="405"/>
      <c r="I65" s="408">
        <f>IF((2*4.9*21)-(G65*G32)&lt;0,0,(2*4.9*21)-(G65*G32))</f>
        <v>4.7424000000000035</v>
      </c>
      <c r="J65" s="409"/>
    </row>
    <row r="66" spans="1:10" x14ac:dyDescent="0.35">
      <c r="A66" s="10" t="s">
        <v>5</v>
      </c>
      <c r="B66" s="293" t="s">
        <v>64</v>
      </c>
      <c r="C66" s="293"/>
      <c r="D66" s="293"/>
      <c r="E66" s="293"/>
      <c r="F66" s="293"/>
      <c r="G66" s="404">
        <v>0</v>
      </c>
      <c r="H66" s="405"/>
      <c r="I66" s="294">
        <f>(42*21)-(42*21*G66)</f>
        <v>882</v>
      </c>
      <c r="J66" s="294"/>
    </row>
    <row r="67" spans="1:10" x14ac:dyDescent="0.35">
      <c r="A67" s="10" t="s">
        <v>7</v>
      </c>
      <c r="B67" s="293" t="s">
        <v>65</v>
      </c>
      <c r="C67" s="293"/>
      <c r="D67" s="293"/>
      <c r="E67" s="293"/>
      <c r="F67" s="293"/>
      <c r="G67" s="393" t="s">
        <v>66</v>
      </c>
      <c r="H67" s="394"/>
      <c r="I67" s="294">
        <v>109.1</v>
      </c>
      <c r="J67" s="294"/>
    </row>
    <row r="68" spans="1:10" x14ac:dyDescent="0.35">
      <c r="A68" s="10" t="s">
        <v>9</v>
      </c>
      <c r="B68" s="293" t="s">
        <v>67</v>
      </c>
      <c r="C68" s="293"/>
      <c r="D68" s="293"/>
      <c r="E68" s="293"/>
      <c r="F68" s="293"/>
      <c r="G68" s="393" t="s">
        <v>66</v>
      </c>
      <c r="H68" s="394"/>
      <c r="I68" s="294">
        <v>11.35</v>
      </c>
      <c r="J68" s="294"/>
    </row>
    <row r="69" spans="1:10" x14ac:dyDescent="0.35">
      <c r="A69" s="10" t="s">
        <v>50</v>
      </c>
      <c r="B69" s="399" t="s">
        <v>68</v>
      </c>
      <c r="C69" s="400"/>
      <c r="D69" s="400"/>
      <c r="E69" s="400"/>
      <c r="F69" s="401"/>
      <c r="G69" s="402">
        <v>2.6069999999999999E-2</v>
      </c>
      <c r="H69" s="403"/>
      <c r="I69" s="294">
        <f xml:space="preserve"> (503.13*G69)</f>
        <v>13.1165991</v>
      </c>
      <c r="J69" s="294"/>
    </row>
    <row r="70" spans="1:10" x14ac:dyDescent="0.35">
      <c r="A70" s="10" t="s">
        <v>52</v>
      </c>
      <c r="B70" s="335" t="s">
        <v>32</v>
      </c>
      <c r="C70" s="335"/>
      <c r="D70" s="335"/>
      <c r="E70" s="335"/>
      <c r="F70" s="335"/>
      <c r="G70" s="393" t="s">
        <v>66</v>
      </c>
      <c r="H70" s="394"/>
      <c r="I70" s="336">
        <v>0</v>
      </c>
      <c r="J70" s="336"/>
    </row>
    <row r="71" spans="1:10" x14ac:dyDescent="0.35">
      <c r="A71" s="395" t="s">
        <v>33</v>
      </c>
      <c r="B71" s="396"/>
      <c r="C71" s="396"/>
      <c r="D71" s="396"/>
      <c r="E71" s="396"/>
      <c r="F71" s="396"/>
      <c r="G71" s="396"/>
      <c r="H71" s="397"/>
      <c r="I71" s="333">
        <f>SUM(I65:J70)</f>
        <v>1020.3089991000001</v>
      </c>
      <c r="J71" s="333"/>
    </row>
    <row r="72" spans="1:10" x14ac:dyDescent="0.35">
      <c r="A72" s="398"/>
      <c r="B72" s="398"/>
      <c r="C72" s="398"/>
      <c r="D72" s="398"/>
      <c r="E72" s="398"/>
      <c r="F72" s="398"/>
      <c r="G72" s="398"/>
      <c r="H72" s="398"/>
      <c r="I72" s="398"/>
      <c r="J72" s="398"/>
    </row>
    <row r="73" spans="1:10" x14ac:dyDescent="0.35">
      <c r="A73" s="377" t="s">
        <v>69</v>
      </c>
      <c r="B73" s="377"/>
      <c r="C73" s="377"/>
      <c r="D73" s="377"/>
      <c r="E73" s="377"/>
      <c r="F73" s="377"/>
      <c r="G73" s="377"/>
      <c r="H73" s="377"/>
      <c r="I73" s="377"/>
      <c r="J73" s="377"/>
    </row>
    <row r="74" spans="1:10" x14ac:dyDescent="0.35">
      <c r="A74" s="392"/>
      <c r="B74" s="392"/>
      <c r="C74" s="392"/>
      <c r="D74" s="392"/>
      <c r="E74" s="392"/>
      <c r="F74" s="392"/>
      <c r="G74" s="392"/>
      <c r="H74" s="392"/>
      <c r="I74" s="392"/>
      <c r="J74" s="392"/>
    </row>
    <row r="75" spans="1:10" x14ac:dyDescent="0.35">
      <c r="A75" s="4">
        <v>2</v>
      </c>
      <c r="B75" s="332" t="s">
        <v>70</v>
      </c>
      <c r="C75" s="332"/>
      <c r="D75" s="332"/>
      <c r="E75" s="332"/>
      <c r="F75" s="332"/>
      <c r="G75" s="332" t="s">
        <v>29</v>
      </c>
      <c r="H75" s="332"/>
      <c r="I75" s="332"/>
      <c r="J75" s="332"/>
    </row>
    <row r="76" spans="1:10" x14ac:dyDescent="0.35">
      <c r="A76" s="7" t="s">
        <v>37</v>
      </c>
      <c r="B76" s="335" t="s">
        <v>38</v>
      </c>
      <c r="C76" s="335"/>
      <c r="D76" s="335"/>
      <c r="E76" s="335"/>
      <c r="F76" s="335"/>
      <c r="G76" s="336">
        <f>I46</f>
        <v>632.89581520000002</v>
      </c>
      <c r="H76" s="336"/>
      <c r="I76" s="336"/>
      <c r="J76" s="336"/>
    </row>
    <row r="77" spans="1:10" x14ac:dyDescent="0.35">
      <c r="A77" s="7" t="s">
        <v>44</v>
      </c>
      <c r="B77" s="335" t="s">
        <v>45</v>
      </c>
      <c r="C77" s="335"/>
      <c r="D77" s="335"/>
      <c r="E77" s="335"/>
      <c r="F77" s="335"/>
      <c r="G77" s="336">
        <f>I60</f>
        <v>2329.2662359935994</v>
      </c>
      <c r="H77" s="336"/>
      <c r="I77" s="336"/>
      <c r="J77" s="336"/>
    </row>
    <row r="78" spans="1:10" x14ac:dyDescent="0.35">
      <c r="A78" s="7" t="s">
        <v>60</v>
      </c>
      <c r="B78" s="335" t="s">
        <v>61</v>
      </c>
      <c r="C78" s="335"/>
      <c r="D78" s="335"/>
      <c r="E78" s="335"/>
      <c r="F78" s="335"/>
      <c r="G78" s="336">
        <f>I71</f>
        <v>1020.3089991000001</v>
      </c>
      <c r="H78" s="336"/>
      <c r="I78" s="336"/>
      <c r="J78" s="336"/>
    </row>
    <row r="79" spans="1:10" x14ac:dyDescent="0.35">
      <c r="A79" s="332" t="s">
        <v>33</v>
      </c>
      <c r="B79" s="332"/>
      <c r="C79" s="332"/>
      <c r="D79" s="332"/>
      <c r="E79" s="332"/>
      <c r="F79" s="332"/>
      <c r="G79" s="333">
        <f>SUM(G76:J78)</f>
        <v>3982.4710502935995</v>
      </c>
      <c r="H79" s="333"/>
      <c r="I79" s="333"/>
      <c r="J79" s="333"/>
    </row>
    <row r="80" spans="1:10" x14ac:dyDescent="0.35">
      <c r="A80" s="389"/>
      <c r="B80" s="389"/>
      <c r="C80" s="389"/>
      <c r="D80" s="389"/>
      <c r="E80" s="389"/>
      <c r="F80" s="389"/>
      <c r="G80" s="389"/>
      <c r="H80" s="389"/>
      <c r="I80" s="389"/>
      <c r="J80" s="389"/>
    </row>
    <row r="81" spans="1:12" x14ac:dyDescent="0.35">
      <c r="A81" s="376"/>
      <c r="B81" s="376"/>
      <c r="C81" s="376"/>
      <c r="D81" s="376"/>
      <c r="E81" s="376"/>
      <c r="F81" s="376"/>
      <c r="G81" s="376"/>
      <c r="H81" s="376"/>
      <c r="I81" s="376"/>
      <c r="J81" s="376"/>
    </row>
    <row r="82" spans="1:12" x14ac:dyDescent="0.35">
      <c r="A82" s="375" t="s">
        <v>71</v>
      </c>
      <c r="B82" s="375"/>
      <c r="C82" s="375"/>
      <c r="D82" s="375"/>
      <c r="E82" s="375"/>
      <c r="F82" s="375"/>
      <c r="G82" s="375"/>
      <c r="H82" s="375"/>
      <c r="I82" s="375"/>
      <c r="J82" s="375"/>
    </row>
    <row r="83" spans="1:12" x14ac:dyDescent="0.35">
      <c r="A83" s="378" t="s">
        <v>72</v>
      </c>
      <c r="B83" s="378"/>
      <c r="C83" s="378"/>
      <c r="D83" s="378"/>
      <c r="E83" s="378"/>
      <c r="F83" s="378"/>
      <c r="G83" s="390">
        <f>G36</f>
        <v>5696.6319999999996</v>
      </c>
      <c r="H83" s="390"/>
      <c r="I83" s="390"/>
      <c r="J83" s="390"/>
    </row>
    <row r="84" spans="1:12" x14ac:dyDescent="0.35">
      <c r="A84" s="391"/>
      <c r="B84" s="391"/>
      <c r="C84" s="391"/>
      <c r="D84" s="391"/>
      <c r="E84" s="391"/>
      <c r="F84" s="391"/>
      <c r="G84" s="391"/>
      <c r="H84" s="391"/>
      <c r="I84" s="391"/>
      <c r="J84" s="391"/>
    </row>
    <row r="85" spans="1:12" x14ac:dyDescent="0.35">
      <c r="A85" s="5">
        <v>3</v>
      </c>
      <c r="B85" s="372" t="s">
        <v>73</v>
      </c>
      <c r="C85" s="372"/>
      <c r="D85" s="372"/>
      <c r="E85" s="372"/>
      <c r="F85" s="372"/>
      <c r="G85" s="387" t="s">
        <v>39</v>
      </c>
      <c r="H85" s="387"/>
      <c r="I85" s="372" t="s">
        <v>29</v>
      </c>
      <c r="J85" s="372"/>
    </row>
    <row r="86" spans="1:12" x14ac:dyDescent="0.35">
      <c r="A86" s="6" t="s">
        <v>3</v>
      </c>
      <c r="B86" s="380" t="s">
        <v>74</v>
      </c>
      <c r="C86" s="380"/>
      <c r="D86" s="380"/>
      <c r="E86" s="380"/>
      <c r="F86" s="380"/>
      <c r="G86" s="25">
        <v>0.05</v>
      </c>
      <c r="H86" s="11">
        <f>(1/12)*G86</f>
        <v>4.1666666666666666E-3</v>
      </c>
      <c r="I86" s="340">
        <f>G83*H86</f>
        <v>23.735966666666666</v>
      </c>
      <c r="J86" s="340"/>
    </row>
    <row r="87" spans="1:12" x14ac:dyDescent="0.35">
      <c r="A87" s="6" t="s">
        <v>5</v>
      </c>
      <c r="B87" s="380" t="s">
        <v>75</v>
      </c>
      <c r="C87" s="380"/>
      <c r="D87" s="380"/>
      <c r="E87" s="380"/>
      <c r="F87" s="380"/>
      <c r="G87" s="373">
        <f>H86*0.08</f>
        <v>3.3333333333333332E-4</v>
      </c>
      <c r="H87" s="373"/>
      <c r="I87" s="388">
        <f>G83*G87</f>
        <v>1.8988773333333331</v>
      </c>
      <c r="J87" s="388"/>
    </row>
    <row r="88" spans="1:12" x14ac:dyDescent="0.35">
      <c r="A88" s="6" t="s">
        <v>7</v>
      </c>
      <c r="B88" s="380" t="s">
        <v>76</v>
      </c>
      <c r="C88" s="380"/>
      <c r="D88" s="380"/>
      <c r="E88" s="380"/>
      <c r="F88" s="380"/>
      <c r="G88" s="25">
        <v>0.9</v>
      </c>
      <c r="H88" s="11">
        <f>(1+2/12+(1/3*1/12))*0.08*0.4*G88</f>
        <v>3.4400000000000007E-2</v>
      </c>
      <c r="I88" s="385">
        <f>G83*H88</f>
        <v>195.96414080000002</v>
      </c>
      <c r="J88" s="386"/>
    </row>
    <row r="89" spans="1:12" x14ac:dyDescent="0.35">
      <c r="A89" s="6" t="s">
        <v>9</v>
      </c>
      <c r="B89" s="380" t="s">
        <v>77</v>
      </c>
      <c r="C89" s="380"/>
      <c r="D89" s="380"/>
      <c r="E89" s="380"/>
      <c r="F89" s="380"/>
      <c r="G89" s="373">
        <f>((7/30) + (7/30*0.1))/ 24</f>
        <v>1.0694444444444444E-2</v>
      </c>
      <c r="H89" s="373"/>
      <c r="I89" s="385">
        <f>G83*G89</f>
        <v>60.922314444444439</v>
      </c>
      <c r="J89" s="386"/>
      <c r="L89" s="12"/>
    </row>
    <row r="90" spans="1:12" x14ac:dyDescent="0.35">
      <c r="A90" s="6" t="s">
        <v>50</v>
      </c>
      <c r="B90" s="380" t="s">
        <v>78</v>
      </c>
      <c r="C90" s="380"/>
      <c r="D90" s="380"/>
      <c r="E90" s="380"/>
      <c r="F90" s="380"/>
      <c r="G90" s="373">
        <f>G89*G60</f>
        <v>3.9355555555555559E-3</v>
      </c>
      <c r="H90" s="373"/>
      <c r="I90" s="385">
        <f>G83*G90</f>
        <v>22.419411715555555</v>
      </c>
      <c r="J90" s="386"/>
    </row>
    <row r="91" spans="1:12" x14ac:dyDescent="0.35">
      <c r="A91" s="6" t="s">
        <v>52</v>
      </c>
      <c r="B91" s="380" t="s">
        <v>79</v>
      </c>
      <c r="C91" s="380"/>
      <c r="D91" s="380"/>
      <c r="E91" s="380"/>
      <c r="F91" s="380"/>
      <c r="G91" s="381">
        <f>G89*0.08*0.4</f>
        <v>3.4222222222222228E-4</v>
      </c>
      <c r="H91" s="381"/>
      <c r="I91" s="382">
        <f>G83*G91</f>
        <v>1.9495140622222225</v>
      </c>
      <c r="J91" s="383"/>
    </row>
    <row r="92" spans="1:12" x14ac:dyDescent="0.35">
      <c r="A92" s="372" t="s">
        <v>33</v>
      </c>
      <c r="B92" s="372"/>
      <c r="C92" s="372"/>
      <c r="D92" s="372"/>
      <c r="E92" s="372"/>
      <c r="F92" s="372"/>
      <c r="G92" s="384">
        <f>SUM(H86,G87,H88,G89,G90,G91)</f>
        <v>5.3872222222222224E-2</v>
      </c>
      <c r="H92" s="384"/>
      <c r="I92" s="341">
        <f>SUM(I86:J91)</f>
        <v>306.8902250222223</v>
      </c>
      <c r="J92" s="341"/>
    </row>
    <row r="93" spans="1:12" x14ac:dyDescent="0.35">
      <c r="A93" s="374"/>
      <c r="B93" s="374"/>
      <c r="C93" s="374"/>
      <c r="D93" s="374"/>
      <c r="E93" s="374"/>
      <c r="F93" s="374"/>
      <c r="G93" s="374"/>
      <c r="H93" s="374"/>
      <c r="I93" s="374"/>
      <c r="J93" s="374"/>
    </row>
    <row r="94" spans="1:12" x14ac:dyDescent="0.35">
      <c r="A94" s="375" t="s">
        <v>80</v>
      </c>
      <c r="B94" s="375"/>
      <c r="C94" s="375"/>
      <c r="D94" s="375"/>
      <c r="E94" s="375"/>
      <c r="F94" s="375"/>
      <c r="G94" s="375"/>
      <c r="H94" s="375"/>
      <c r="I94" s="375"/>
      <c r="J94" s="375"/>
    </row>
    <row r="95" spans="1:12" x14ac:dyDescent="0.35">
      <c r="A95" s="376"/>
      <c r="B95" s="376"/>
      <c r="C95" s="376"/>
      <c r="D95" s="376"/>
      <c r="E95" s="376"/>
      <c r="F95" s="376"/>
      <c r="G95" s="376"/>
      <c r="H95" s="376"/>
      <c r="I95" s="376"/>
      <c r="J95" s="376"/>
    </row>
    <row r="96" spans="1:12" x14ac:dyDescent="0.35">
      <c r="A96" s="377" t="s">
        <v>81</v>
      </c>
      <c r="B96" s="377"/>
      <c r="C96" s="377"/>
      <c r="D96" s="377"/>
      <c r="E96" s="377"/>
      <c r="F96" s="377"/>
      <c r="G96" s="377"/>
      <c r="H96" s="377"/>
      <c r="I96" s="377"/>
      <c r="J96" s="377"/>
    </row>
    <row r="97" spans="1:12" x14ac:dyDescent="0.35">
      <c r="A97" s="378" t="s">
        <v>82</v>
      </c>
      <c r="B97" s="378"/>
      <c r="C97" s="378"/>
      <c r="D97" s="378"/>
      <c r="E97" s="378"/>
      <c r="F97" s="378"/>
      <c r="G97" s="379">
        <f>G36</f>
        <v>5696.6319999999996</v>
      </c>
      <c r="H97" s="379"/>
      <c r="I97" s="379"/>
      <c r="J97" s="379"/>
    </row>
    <row r="98" spans="1:12" x14ac:dyDescent="0.35">
      <c r="A98" s="370"/>
      <c r="B98" s="370"/>
      <c r="C98" s="370"/>
      <c r="D98" s="370"/>
      <c r="E98" s="370"/>
      <c r="F98" s="370"/>
      <c r="G98" s="370"/>
      <c r="H98" s="370"/>
      <c r="I98" s="370"/>
      <c r="J98" s="370"/>
    </row>
    <row r="99" spans="1:12" x14ac:dyDescent="0.35">
      <c r="A99" s="13" t="s">
        <v>83</v>
      </c>
      <c r="B99" s="371" t="s">
        <v>84</v>
      </c>
      <c r="C99" s="371"/>
      <c r="D99" s="371"/>
      <c r="E99" s="371"/>
      <c r="F99" s="371"/>
      <c r="G99" s="372" t="s">
        <v>85</v>
      </c>
      <c r="H99" s="372"/>
      <c r="I99" s="332" t="s">
        <v>29</v>
      </c>
      <c r="J99" s="332"/>
    </row>
    <row r="100" spans="1:12" x14ac:dyDescent="0.35">
      <c r="A100" s="7" t="s">
        <v>3</v>
      </c>
      <c r="B100" s="335" t="s">
        <v>86</v>
      </c>
      <c r="C100" s="335"/>
      <c r="D100" s="335"/>
      <c r="E100" s="335"/>
      <c r="F100" s="335"/>
      <c r="G100" s="373">
        <f>1/12</f>
        <v>8.3333333333333329E-2</v>
      </c>
      <c r="H100" s="373"/>
      <c r="I100" s="336">
        <f>G100*G97</f>
        <v>474.71933333333328</v>
      </c>
      <c r="J100" s="336"/>
    </row>
    <row r="101" spans="1:12" x14ac:dyDescent="0.35">
      <c r="A101" s="6" t="s">
        <v>5</v>
      </c>
      <c r="B101" s="365" t="s">
        <v>87</v>
      </c>
      <c r="C101" s="365"/>
      <c r="D101" s="365"/>
      <c r="E101" s="365"/>
      <c r="F101" s="365"/>
      <c r="G101" s="366">
        <f>(1/30)/12</f>
        <v>2.7777777777777779E-3</v>
      </c>
      <c r="H101" s="366"/>
      <c r="I101" s="336">
        <f>G97*G101</f>
        <v>15.823977777777777</v>
      </c>
      <c r="J101" s="336"/>
    </row>
    <row r="102" spans="1:12" x14ac:dyDescent="0.35">
      <c r="A102" s="6" t="s">
        <v>7</v>
      </c>
      <c r="B102" s="365" t="s">
        <v>88</v>
      </c>
      <c r="C102" s="365"/>
      <c r="D102" s="365"/>
      <c r="E102" s="365"/>
      <c r="F102" s="365"/>
      <c r="G102" s="366">
        <f>(5/30)/12*0.015</f>
        <v>2.0833333333333332E-4</v>
      </c>
      <c r="H102" s="366"/>
      <c r="I102" s="336">
        <f>G97*G102</f>
        <v>1.1867983333333332</v>
      </c>
      <c r="J102" s="336"/>
    </row>
    <row r="103" spans="1:12" x14ac:dyDescent="0.35">
      <c r="A103" s="6" t="s">
        <v>9</v>
      </c>
      <c r="B103" s="365" t="s">
        <v>89</v>
      </c>
      <c r="C103" s="365"/>
      <c r="D103" s="365"/>
      <c r="E103" s="365"/>
      <c r="F103" s="365"/>
      <c r="G103" s="366">
        <f>1/12*0.0078</f>
        <v>6.4999999999999997E-4</v>
      </c>
      <c r="H103" s="366"/>
      <c r="I103" s="336">
        <f>G97*G103</f>
        <v>3.7028107999999995</v>
      </c>
      <c r="J103" s="336"/>
    </row>
    <row r="104" spans="1:12" x14ac:dyDescent="0.35">
      <c r="A104" s="6" t="s">
        <v>50</v>
      </c>
      <c r="B104" s="365" t="s">
        <v>90</v>
      </c>
      <c r="C104" s="365"/>
      <c r="D104" s="365"/>
      <c r="E104" s="365"/>
      <c r="F104" s="365"/>
      <c r="G104" s="366">
        <f>((1/12)+(1/3*1/12))*0.02607*6/12</f>
        <v>1.4483333333333334E-3</v>
      </c>
      <c r="H104" s="366"/>
      <c r="I104" s="336">
        <f>G97*G104</f>
        <v>8.2506220133333326</v>
      </c>
      <c r="J104" s="336"/>
    </row>
    <row r="105" spans="1:12" x14ac:dyDescent="0.35">
      <c r="A105" s="6" t="s">
        <v>52</v>
      </c>
      <c r="B105" s="365" t="s">
        <v>91</v>
      </c>
      <c r="C105" s="365"/>
      <c r="D105" s="365"/>
      <c r="E105" s="365"/>
      <c r="F105" s="365"/>
      <c r="G105" s="366">
        <f>(5/30/12)</f>
        <v>1.3888888888888888E-2</v>
      </c>
      <c r="H105" s="366"/>
      <c r="I105" s="336">
        <f>G97*G105</f>
        <v>79.11988888888888</v>
      </c>
      <c r="J105" s="336"/>
    </row>
    <row r="106" spans="1:12" x14ac:dyDescent="0.35">
      <c r="A106" s="367" t="s">
        <v>92</v>
      </c>
      <c r="B106" s="367"/>
      <c r="C106" s="367"/>
      <c r="D106" s="367"/>
      <c r="E106" s="367"/>
      <c r="F106" s="367"/>
      <c r="G106" s="368">
        <f>SUM(G100:H105)</f>
        <v>0.10230666666666666</v>
      </c>
      <c r="H106" s="368"/>
      <c r="I106" s="369">
        <f>SUM(I100:J105)</f>
        <v>582.80343114666664</v>
      </c>
      <c r="J106" s="369"/>
    </row>
    <row r="107" spans="1:12" x14ac:dyDescent="0.35">
      <c r="A107" s="14" t="s">
        <v>54</v>
      </c>
      <c r="B107" s="352" t="s">
        <v>93</v>
      </c>
      <c r="C107" s="352"/>
      <c r="D107" s="352"/>
      <c r="E107" s="352"/>
      <c r="F107" s="353"/>
      <c r="G107" s="347">
        <f>(G106-G104)*(2/12+(1/3*1/12))</f>
        <v>1.961134259259259E-2</v>
      </c>
      <c r="H107" s="353"/>
      <c r="I107" s="349">
        <f>G97*G107</f>
        <v>111.7186017759259</v>
      </c>
      <c r="J107" s="350"/>
    </row>
    <row r="108" spans="1:12" x14ac:dyDescent="0.35">
      <c r="A108" s="358" t="s">
        <v>94</v>
      </c>
      <c r="B108" s="359"/>
      <c r="C108" s="359"/>
      <c r="D108" s="359"/>
      <c r="E108" s="359"/>
      <c r="F108" s="360"/>
      <c r="G108" s="361">
        <f>SUM(G106:H107)</f>
        <v>0.12191800925925925</v>
      </c>
      <c r="H108" s="362"/>
      <c r="I108" s="363">
        <f>SUM(I106:J107)</f>
        <v>694.52203292259253</v>
      </c>
      <c r="J108" s="364"/>
      <c r="L108" s="47"/>
    </row>
    <row r="109" spans="1:12" x14ac:dyDescent="0.35">
      <c r="A109" s="14" t="s">
        <v>56</v>
      </c>
      <c r="B109" s="345" t="s">
        <v>95</v>
      </c>
      <c r="C109" s="345"/>
      <c r="D109" s="345"/>
      <c r="E109" s="345"/>
      <c r="F109" s="346"/>
      <c r="G109" s="347">
        <f>G108*G60</f>
        <v>4.486582740740741E-2</v>
      </c>
      <c r="H109" s="348"/>
      <c r="I109" s="349">
        <f>G97*G109</f>
        <v>255.58410811551408</v>
      </c>
      <c r="J109" s="350"/>
    </row>
    <row r="110" spans="1:12" x14ac:dyDescent="0.35">
      <c r="A110" s="351" t="s">
        <v>33</v>
      </c>
      <c r="B110" s="352"/>
      <c r="C110" s="352"/>
      <c r="D110" s="352"/>
      <c r="E110" s="352"/>
      <c r="F110" s="353"/>
      <c r="G110" s="354">
        <f>SUM(G108:H109)</f>
        <v>0.16678383666666666</v>
      </c>
      <c r="H110" s="355"/>
      <c r="I110" s="356">
        <f>G97*G110</f>
        <v>950.10614103810656</v>
      </c>
      <c r="J110" s="357"/>
    </row>
    <row r="111" spans="1:12" x14ac:dyDescent="0.35">
      <c r="A111" s="2"/>
      <c r="B111" s="342"/>
      <c r="C111" s="342"/>
      <c r="D111" s="342"/>
      <c r="E111" s="342"/>
      <c r="F111" s="342"/>
      <c r="G111" s="342"/>
      <c r="H111" s="342"/>
      <c r="I111" s="342"/>
      <c r="J111" s="342"/>
    </row>
    <row r="112" spans="1:12" x14ac:dyDescent="0.35">
      <c r="A112" s="338" t="s">
        <v>96</v>
      </c>
      <c r="B112" s="338"/>
      <c r="C112" s="338"/>
      <c r="D112" s="338"/>
      <c r="E112" s="338"/>
      <c r="F112" s="338"/>
      <c r="G112" s="338"/>
      <c r="H112" s="338"/>
      <c r="I112" s="338"/>
      <c r="J112" s="338"/>
    </row>
    <row r="113" spans="1:10" x14ac:dyDescent="0.35">
      <c r="A113" s="343"/>
      <c r="B113" s="343"/>
      <c r="C113" s="343"/>
      <c r="D113" s="343"/>
      <c r="E113" s="343"/>
      <c r="F113" s="343"/>
      <c r="G113" s="344"/>
      <c r="H113" s="344"/>
      <c r="I113" s="344"/>
      <c r="J113" s="344"/>
    </row>
    <row r="114" spans="1:10" x14ac:dyDescent="0.35">
      <c r="A114" s="4" t="s">
        <v>97</v>
      </c>
      <c r="B114" s="332" t="s">
        <v>98</v>
      </c>
      <c r="C114" s="332"/>
      <c r="D114" s="332"/>
      <c r="E114" s="332"/>
      <c r="F114" s="332"/>
      <c r="G114" s="332" t="s">
        <v>29</v>
      </c>
      <c r="H114" s="332"/>
      <c r="I114" s="332"/>
      <c r="J114" s="332"/>
    </row>
    <row r="115" spans="1:10" x14ac:dyDescent="0.35">
      <c r="A115" s="7" t="s">
        <v>3</v>
      </c>
      <c r="B115" s="335" t="s">
        <v>99</v>
      </c>
      <c r="C115" s="335"/>
      <c r="D115" s="335"/>
      <c r="E115" s="335"/>
      <c r="F115" s="335"/>
      <c r="G115" s="340">
        <v>0</v>
      </c>
      <c r="H115" s="340"/>
      <c r="I115" s="340"/>
      <c r="J115" s="340"/>
    </row>
    <row r="116" spans="1:10" x14ac:dyDescent="0.35">
      <c r="A116" s="332" t="s">
        <v>33</v>
      </c>
      <c r="B116" s="332"/>
      <c r="C116" s="332"/>
      <c r="D116" s="332"/>
      <c r="E116" s="332"/>
      <c r="F116" s="332"/>
      <c r="G116" s="341">
        <f>SUM(G115)</f>
        <v>0</v>
      </c>
      <c r="H116" s="341"/>
      <c r="I116" s="341"/>
      <c r="J116" s="341"/>
    </row>
    <row r="117" spans="1:10" x14ac:dyDescent="0.35">
      <c r="A117" s="15"/>
      <c r="B117" s="334"/>
      <c r="C117" s="334"/>
      <c r="D117" s="334"/>
      <c r="E117" s="334"/>
      <c r="F117" s="334"/>
      <c r="G117" s="334"/>
      <c r="H117" s="334"/>
      <c r="I117" s="334"/>
      <c r="J117" s="334"/>
    </row>
    <row r="118" spans="1:10" x14ac:dyDescent="0.35">
      <c r="A118" s="338" t="s">
        <v>100</v>
      </c>
      <c r="B118" s="338"/>
      <c r="C118" s="338"/>
      <c r="D118" s="338"/>
      <c r="E118" s="338"/>
      <c r="F118" s="338"/>
      <c r="G118" s="338"/>
      <c r="H118" s="338"/>
      <c r="I118" s="338"/>
      <c r="J118" s="338"/>
    </row>
    <row r="119" spans="1:10" x14ac:dyDescent="0.35">
      <c r="A119" s="15"/>
      <c r="B119" s="334"/>
      <c r="C119" s="334"/>
      <c r="D119" s="334"/>
      <c r="E119" s="334"/>
      <c r="F119" s="334"/>
      <c r="G119" s="339"/>
      <c r="H119" s="339"/>
      <c r="I119" s="339"/>
      <c r="J119" s="339"/>
    </row>
    <row r="120" spans="1:10" x14ac:dyDescent="0.35">
      <c r="A120" s="4">
        <v>4</v>
      </c>
      <c r="B120" s="332" t="s">
        <v>101</v>
      </c>
      <c r="C120" s="332"/>
      <c r="D120" s="332"/>
      <c r="E120" s="332"/>
      <c r="F120" s="332"/>
      <c r="G120" s="332" t="s">
        <v>29</v>
      </c>
      <c r="H120" s="332"/>
      <c r="I120" s="332"/>
      <c r="J120" s="332"/>
    </row>
    <row r="121" spans="1:10" x14ac:dyDescent="0.35">
      <c r="A121" s="7" t="s">
        <v>83</v>
      </c>
      <c r="B121" s="335" t="s">
        <v>102</v>
      </c>
      <c r="C121" s="335"/>
      <c r="D121" s="335"/>
      <c r="E121" s="335"/>
      <c r="F121" s="335"/>
      <c r="G121" s="336">
        <f>I110</f>
        <v>950.10614103810656</v>
      </c>
      <c r="H121" s="336"/>
      <c r="I121" s="336"/>
      <c r="J121" s="336"/>
    </row>
    <row r="122" spans="1:10" x14ac:dyDescent="0.35">
      <c r="A122" s="7" t="s">
        <v>97</v>
      </c>
      <c r="B122" s="337" t="s">
        <v>103</v>
      </c>
      <c r="C122" s="337"/>
      <c r="D122" s="337"/>
      <c r="E122" s="337"/>
      <c r="F122" s="337"/>
      <c r="G122" s="336">
        <f>G116</f>
        <v>0</v>
      </c>
      <c r="H122" s="336"/>
      <c r="I122" s="336"/>
      <c r="J122" s="336"/>
    </row>
    <row r="123" spans="1:10" x14ac:dyDescent="0.35">
      <c r="A123" s="332" t="s">
        <v>33</v>
      </c>
      <c r="B123" s="332"/>
      <c r="C123" s="332"/>
      <c r="D123" s="332"/>
      <c r="E123" s="332"/>
      <c r="F123" s="332"/>
      <c r="G123" s="333">
        <f>SUM(G121:J122)</f>
        <v>950.10614103810656</v>
      </c>
      <c r="H123" s="333"/>
      <c r="I123" s="333"/>
      <c r="J123" s="333"/>
    </row>
    <row r="124" spans="1:10" x14ac:dyDescent="0.35">
      <c r="A124" s="15"/>
      <c r="B124" s="334"/>
      <c r="C124" s="334"/>
      <c r="D124" s="334"/>
      <c r="E124" s="334"/>
      <c r="F124" s="334"/>
      <c r="G124" s="334"/>
      <c r="H124" s="334"/>
      <c r="I124" s="334"/>
      <c r="J124" s="334"/>
    </row>
    <row r="125" spans="1:10" x14ac:dyDescent="0.35">
      <c r="A125" s="15"/>
      <c r="B125" s="334"/>
      <c r="C125" s="334"/>
      <c r="D125" s="334"/>
      <c r="E125" s="334"/>
      <c r="F125" s="334"/>
      <c r="G125" s="334"/>
      <c r="H125" s="334"/>
      <c r="I125" s="334"/>
      <c r="J125" s="334"/>
    </row>
    <row r="126" spans="1:10" x14ac:dyDescent="0.35">
      <c r="A126" s="324" t="s">
        <v>104</v>
      </c>
      <c r="B126" s="324"/>
      <c r="C126" s="324"/>
      <c r="D126" s="324"/>
      <c r="E126" s="324"/>
      <c r="F126" s="324"/>
      <c r="G126" s="324"/>
      <c r="H126" s="324"/>
      <c r="I126" s="324"/>
      <c r="J126" s="324"/>
    </row>
    <row r="127" spans="1:10" x14ac:dyDescent="0.35">
      <c r="A127" s="16"/>
      <c r="B127" s="331"/>
      <c r="C127" s="331"/>
      <c r="D127" s="331"/>
      <c r="E127" s="331"/>
      <c r="F127" s="331"/>
      <c r="G127" s="331"/>
      <c r="H127" s="331"/>
      <c r="I127" s="331"/>
      <c r="J127" s="331"/>
    </row>
    <row r="128" spans="1:10" x14ac:dyDescent="0.35">
      <c r="A128" s="9">
        <v>5</v>
      </c>
      <c r="B128" s="317" t="s">
        <v>105</v>
      </c>
      <c r="C128" s="317"/>
      <c r="D128" s="317"/>
      <c r="E128" s="317"/>
      <c r="F128" s="317"/>
      <c r="G128" s="292" t="s">
        <v>29</v>
      </c>
      <c r="H128" s="292"/>
      <c r="I128" s="292"/>
      <c r="J128" s="292"/>
    </row>
    <row r="129" spans="1:10" x14ac:dyDescent="0.35">
      <c r="A129" s="10" t="s">
        <v>3</v>
      </c>
      <c r="B129" s="293" t="s">
        <v>106</v>
      </c>
      <c r="C129" s="293"/>
      <c r="D129" s="293"/>
      <c r="E129" s="293"/>
      <c r="F129" s="293"/>
      <c r="G129" s="294">
        <f>Insumos!G7</f>
        <v>50.609583333333326</v>
      </c>
      <c r="H129" s="294"/>
      <c r="I129" s="294"/>
      <c r="J129" s="294"/>
    </row>
    <row r="130" spans="1:10" x14ac:dyDescent="0.35">
      <c r="A130" s="10" t="s">
        <v>5</v>
      </c>
      <c r="B130" s="325" t="s">
        <v>369</v>
      </c>
      <c r="C130" s="326"/>
      <c r="D130" s="326"/>
      <c r="E130" s="326"/>
      <c r="F130" s="327"/>
      <c r="G130" s="328">
        <f>Insumos!G26</f>
        <v>18.604125000000003</v>
      </c>
      <c r="H130" s="329"/>
      <c r="I130" s="329"/>
      <c r="J130" s="330"/>
    </row>
    <row r="131" spans="1:10" x14ac:dyDescent="0.35">
      <c r="A131" s="10" t="s">
        <v>7</v>
      </c>
      <c r="B131" s="325" t="s">
        <v>367</v>
      </c>
      <c r="C131" s="326"/>
      <c r="D131" s="326"/>
      <c r="E131" s="326"/>
      <c r="F131" s="327"/>
      <c r="G131" s="328">
        <f>Insumos!G34</f>
        <v>10</v>
      </c>
      <c r="H131" s="329"/>
      <c r="I131" s="329"/>
      <c r="J131" s="330"/>
    </row>
    <row r="132" spans="1:10" x14ac:dyDescent="0.35">
      <c r="A132" s="10" t="s">
        <v>9</v>
      </c>
      <c r="B132" s="325" t="s">
        <v>368</v>
      </c>
      <c r="C132" s="326"/>
      <c r="D132" s="326"/>
      <c r="E132" s="326"/>
      <c r="F132" s="327"/>
      <c r="G132" s="328">
        <f>Insumos!H191</f>
        <v>66.102322500000014</v>
      </c>
      <c r="H132" s="329"/>
      <c r="I132" s="329"/>
      <c r="J132" s="330"/>
    </row>
    <row r="133" spans="1:10" x14ac:dyDescent="0.35">
      <c r="A133" s="292" t="s">
        <v>58</v>
      </c>
      <c r="B133" s="292"/>
      <c r="C133" s="292"/>
      <c r="D133" s="292"/>
      <c r="E133" s="292"/>
      <c r="F133" s="292"/>
      <c r="G133" s="304">
        <f>SUM(G129:J132)</f>
        <v>145.31603083333334</v>
      </c>
      <c r="H133" s="304"/>
      <c r="I133" s="304"/>
      <c r="J133" s="304"/>
    </row>
    <row r="134" spans="1:10" x14ac:dyDescent="0.35">
      <c r="A134" s="17"/>
      <c r="B134" s="323"/>
      <c r="C134" s="323"/>
      <c r="D134" s="323"/>
      <c r="E134" s="323"/>
      <c r="F134" s="323"/>
      <c r="G134" s="323"/>
      <c r="H134" s="323"/>
      <c r="I134" s="323"/>
      <c r="J134" s="323"/>
    </row>
    <row r="135" spans="1:10" x14ac:dyDescent="0.35">
      <c r="A135" s="324" t="s">
        <v>107</v>
      </c>
      <c r="B135" s="324"/>
      <c r="C135" s="324"/>
      <c r="D135" s="324"/>
      <c r="E135" s="324"/>
      <c r="F135" s="324"/>
      <c r="G135" s="324"/>
      <c r="H135" s="324"/>
      <c r="I135" s="324"/>
      <c r="J135" s="324"/>
    </row>
    <row r="136" spans="1:10" x14ac:dyDescent="0.35">
      <c r="A136" s="319" t="s">
        <v>108</v>
      </c>
      <c r="B136" s="319"/>
      <c r="C136" s="319"/>
      <c r="D136" s="319"/>
      <c r="E136" s="319"/>
      <c r="F136" s="319"/>
      <c r="G136" s="320">
        <f>G36+G79+I92+G123+G133</f>
        <v>11081.415447187261</v>
      </c>
      <c r="H136" s="321"/>
      <c r="I136" s="321"/>
      <c r="J136" s="321"/>
    </row>
    <row r="137" spans="1:10" x14ac:dyDescent="0.35">
      <c r="A137" s="319" t="s">
        <v>109</v>
      </c>
      <c r="B137" s="319"/>
      <c r="C137" s="319"/>
      <c r="D137" s="319"/>
      <c r="E137" s="319"/>
      <c r="F137" s="319"/>
      <c r="G137" s="320">
        <f>G136+I140</f>
        <v>11512.482508082845</v>
      </c>
      <c r="H137" s="321"/>
      <c r="I137" s="321"/>
      <c r="J137" s="321"/>
    </row>
    <row r="138" spans="1:10" x14ac:dyDescent="0.35">
      <c r="A138" s="319" t="s">
        <v>110</v>
      </c>
      <c r="B138" s="319"/>
      <c r="C138" s="319"/>
      <c r="D138" s="319"/>
      <c r="E138" s="319"/>
      <c r="F138" s="319"/>
      <c r="G138" s="322">
        <f>(G137+I141)/(1-G142)</f>
        <v>13124.356085295538</v>
      </c>
      <c r="H138" s="322"/>
      <c r="I138" s="322"/>
      <c r="J138" s="322"/>
    </row>
    <row r="139" spans="1:10" x14ac:dyDescent="0.35">
      <c r="A139" s="9">
        <v>6</v>
      </c>
      <c r="B139" s="317" t="s">
        <v>111</v>
      </c>
      <c r="C139" s="317"/>
      <c r="D139" s="317"/>
      <c r="E139" s="317"/>
      <c r="F139" s="317"/>
      <c r="G139" s="318" t="s">
        <v>39</v>
      </c>
      <c r="H139" s="318"/>
      <c r="I139" s="318" t="s">
        <v>29</v>
      </c>
      <c r="J139" s="318"/>
    </row>
    <row r="140" spans="1:10" x14ac:dyDescent="0.35">
      <c r="A140" s="10" t="s">
        <v>3</v>
      </c>
      <c r="B140" s="293" t="s">
        <v>112</v>
      </c>
      <c r="C140" s="293"/>
      <c r="D140" s="293"/>
      <c r="E140" s="293"/>
      <c r="F140" s="293"/>
      <c r="G140" s="313">
        <v>3.8899999999999997E-2</v>
      </c>
      <c r="H140" s="313"/>
      <c r="I140" s="312">
        <f>G136*G140</f>
        <v>431.0670608955844</v>
      </c>
      <c r="J140" s="293"/>
    </row>
    <row r="141" spans="1:10" x14ac:dyDescent="0.35">
      <c r="A141" s="10" t="s">
        <v>5</v>
      </c>
      <c r="B141" s="293" t="s">
        <v>113</v>
      </c>
      <c r="C141" s="293"/>
      <c r="D141" s="293"/>
      <c r="E141" s="293"/>
      <c r="F141" s="293"/>
      <c r="G141" s="313">
        <v>4.1399999999999999E-2</v>
      </c>
      <c r="H141" s="313"/>
      <c r="I141" s="312">
        <f>G137*G141</f>
        <v>476.61677583462978</v>
      </c>
      <c r="J141" s="293"/>
    </row>
    <row r="142" spans="1:10" x14ac:dyDescent="0.35">
      <c r="A142" s="10" t="s">
        <v>7</v>
      </c>
      <c r="B142" s="293" t="s">
        <v>114</v>
      </c>
      <c r="C142" s="293"/>
      <c r="D142" s="293"/>
      <c r="E142" s="293"/>
      <c r="F142" s="293"/>
      <c r="G142" s="314">
        <f>SUM(G143:H146)</f>
        <v>8.6499999999999994E-2</v>
      </c>
      <c r="H142" s="314"/>
      <c r="I142" s="315">
        <f>G138*G142</f>
        <v>1135.256801378064</v>
      </c>
      <c r="J142" s="316"/>
    </row>
    <row r="143" spans="1:10" x14ac:dyDescent="0.35">
      <c r="A143" s="18" t="s">
        <v>115</v>
      </c>
      <c r="B143" s="310" t="s">
        <v>371</v>
      </c>
      <c r="C143" s="310"/>
      <c r="D143" s="310"/>
      <c r="E143" s="310"/>
      <c r="F143" s="310"/>
      <c r="G143" s="308">
        <v>0.03</v>
      </c>
      <c r="H143" s="308"/>
      <c r="I143" s="309">
        <f>G138*G143</f>
        <v>393.73068255886614</v>
      </c>
      <c r="J143" s="310"/>
    </row>
    <row r="144" spans="1:10" x14ac:dyDescent="0.35">
      <c r="A144" s="18" t="s">
        <v>116</v>
      </c>
      <c r="B144" s="310" t="s">
        <v>372</v>
      </c>
      <c r="C144" s="310"/>
      <c r="D144" s="310"/>
      <c r="E144" s="310"/>
      <c r="F144" s="310"/>
      <c r="G144" s="308">
        <v>6.4999999999999997E-3</v>
      </c>
      <c r="H144" s="308"/>
      <c r="I144" s="309">
        <f>G138*G144</f>
        <v>85.308314554420988</v>
      </c>
      <c r="J144" s="310"/>
    </row>
    <row r="145" spans="1:12" x14ac:dyDescent="0.35">
      <c r="A145" s="18" t="s">
        <v>117</v>
      </c>
      <c r="B145" s="310" t="s">
        <v>118</v>
      </c>
      <c r="C145" s="310"/>
      <c r="D145" s="310"/>
      <c r="E145" s="310"/>
      <c r="F145" s="310"/>
      <c r="G145" s="308">
        <v>0.05</v>
      </c>
      <c r="H145" s="308"/>
      <c r="I145" s="309">
        <f>G137*G145</f>
        <v>575.62412540414232</v>
      </c>
      <c r="J145" s="310"/>
    </row>
    <row r="146" spans="1:12" x14ac:dyDescent="0.35">
      <c r="A146" s="18" t="s">
        <v>165</v>
      </c>
      <c r="B146" s="310" t="s">
        <v>164</v>
      </c>
      <c r="C146" s="310"/>
      <c r="D146" s="310"/>
      <c r="E146" s="310"/>
      <c r="F146" s="310"/>
      <c r="G146" s="308">
        <v>0</v>
      </c>
      <c r="H146" s="308"/>
      <c r="I146" s="309">
        <f>G138*G146</f>
        <v>0</v>
      </c>
      <c r="J146" s="310"/>
      <c r="L146" s="24"/>
    </row>
    <row r="147" spans="1:12" x14ac:dyDescent="0.35">
      <c r="A147" s="292" t="s">
        <v>58</v>
      </c>
      <c r="B147" s="292"/>
      <c r="C147" s="292"/>
      <c r="D147" s="292"/>
      <c r="E147" s="292"/>
      <c r="F147" s="292"/>
      <c r="G147" s="311"/>
      <c r="H147" s="311"/>
      <c r="I147" s="312">
        <f>SUM(I140:J142)</f>
        <v>2042.9406381082781</v>
      </c>
      <c r="J147" s="293"/>
    </row>
    <row r="148" spans="1:12" x14ac:dyDescent="0.35">
      <c r="A148" s="19"/>
      <c r="B148" s="295"/>
      <c r="C148" s="295"/>
      <c r="D148" s="295"/>
      <c r="E148" s="295"/>
      <c r="F148" s="295"/>
      <c r="G148" s="295"/>
      <c r="H148" s="295"/>
      <c r="I148" s="295"/>
      <c r="J148" s="295"/>
    </row>
    <row r="149" spans="1:12" x14ac:dyDescent="0.35">
      <c r="A149" s="296" t="s">
        <v>119</v>
      </c>
      <c r="B149" s="296"/>
      <c r="C149" s="296"/>
      <c r="D149" s="296"/>
      <c r="E149" s="296"/>
      <c r="F149" s="296"/>
      <c r="G149" s="296"/>
      <c r="H149" s="296"/>
      <c r="I149" s="296"/>
      <c r="J149" s="296"/>
    </row>
    <row r="150" spans="1:12" x14ac:dyDescent="0.35">
      <c r="A150" s="20"/>
      <c r="B150" s="297"/>
      <c r="C150" s="297"/>
      <c r="D150" s="297"/>
      <c r="E150" s="297"/>
      <c r="F150" s="297"/>
      <c r="G150" s="297"/>
      <c r="H150" s="297"/>
      <c r="I150" s="297"/>
      <c r="J150" s="297"/>
    </row>
    <row r="151" spans="1:12" x14ac:dyDescent="0.35">
      <c r="A151" s="9"/>
      <c r="B151" s="292" t="s">
        <v>120</v>
      </c>
      <c r="C151" s="292"/>
      <c r="D151" s="292"/>
      <c r="E151" s="292"/>
      <c r="F151" s="292"/>
      <c r="G151" s="292" t="s">
        <v>29</v>
      </c>
      <c r="H151" s="292"/>
      <c r="I151" s="292"/>
      <c r="J151" s="292"/>
    </row>
    <row r="152" spans="1:12" x14ac:dyDescent="0.35">
      <c r="A152" s="9" t="s">
        <v>3</v>
      </c>
      <c r="B152" s="293" t="s">
        <v>27</v>
      </c>
      <c r="C152" s="293"/>
      <c r="D152" s="293"/>
      <c r="E152" s="293"/>
      <c r="F152" s="293"/>
      <c r="G152" s="294">
        <f>G36</f>
        <v>5696.6319999999996</v>
      </c>
      <c r="H152" s="294"/>
      <c r="I152" s="294"/>
      <c r="J152" s="294"/>
    </row>
    <row r="153" spans="1:12" x14ac:dyDescent="0.35">
      <c r="A153" s="9" t="s">
        <v>5</v>
      </c>
      <c r="B153" s="293" t="s">
        <v>34</v>
      </c>
      <c r="C153" s="293"/>
      <c r="D153" s="293"/>
      <c r="E153" s="293"/>
      <c r="F153" s="293"/>
      <c r="G153" s="294">
        <f>G79</f>
        <v>3982.4710502935995</v>
      </c>
      <c r="H153" s="294"/>
      <c r="I153" s="294"/>
      <c r="J153" s="294"/>
    </row>
    <row r="154" spans="1:12" x14ac:dyDescent="0.35">
      <c r="A154" s="9" t="s">
        <v>7</v>
      </c>
      <c r="B154" s="293" t="s">
        <v>71</v>
      </c>
      <c r="C154" s="293"/>
      <c r="D154" s="293"/>
      <c r="E154" s="293"/>
      <c r="F154" s="293"/>
      <c r="G154" s="294">
        <f>I92</f>
        <v>306.8902250222223</v>
      </c>
      <c r="H154" s="294"/>
      <c r="I154" s="294"/>
      <c r="J154" s="294"/>
    </row>
    <row r="155" spans="1:12" x14ac:dyDescent="0.35">
      <c r="A155" s="9" t="s">
        <v>9</v>
      </c>
      <c r="B155" s="293" t="s">
        <v>80</v>
      </c>
      <c r="C155" s="293"/>
      <c r="D155" s="293"/>
      <c r="E155" s="293"/>
      <c r="F155" s="293"/>
      <c r="G155" s="294">
        <f>G123</f>
        <v>950.10614103810656</v>
      </c>
      <c r="H155" s="294"/>
      <c r="I155" s="294"/>
      <c r="J155" s="294"/>
    </row>
    <row r="156" spans="1:12" x14ac:dyDescent="0.35">
      <c r="A156" s="9" t="s">
        <v>50</v>
      </c>
      <c r="B156" s="293" t="s">
        <v>104</v>
      </c>
      <c r="C156" s="293"/>
      <c r="D156" s="293"/>
      <c r="E156" s="293"/>
      <c r="F156" s="293"/>
      <c r="G156" s="294">
        <f>G133</f>
        <v>145.31603083333334</v>
      </c>
      <c r="H156" s="294"/>
      <c r="I156" s="294"/>
      <c r="J156" s="294"/>
    </row>
    <row r="157" spans="1:12" x14ac:dyDescent="0.35">
      <c r="A157" s="292" t="s">
        <v>121</v>
      </c>
      <c r="B157" s="292"/>
      <c r="C157" s="292"/>
      <c r="D157" s="292"/>
      <c r="E157" s="292"/>
      <c r="F157" s="292"/>
      <c r="G157" s="304">
        <f>SUM(G152:J156)</f>
        <v>11081.415447187261</v>
      </c>
      <c r="H157" s="304"/>
      <c r="I157" s="304"/>
      <c r="J157" s="304"/>
    </row>
    <row r="158" spans="1:12" x14ac:dyDescent="0.35">
      <c r="A158" s="9" t="s">
        <v>52</v>
      </c>
      <c r="B158" s="293" t="s">
        <v>122</v>
      </c>
      <c r="C158" s="293"/>
      <c r="D158" s="293"/>
      <c r="E158" s="293"/>
      <c r="F158" s="293"/>
      <c r="G158" s="294">
        <f>I147</f>
        <v>2042.9406381082781</v>
      </c>
      <c r="H158" s="294"/>
      <c r="I158" s="294"/>
      <c r="J158" s="294"/>
    </row>
    <row r="159" spans="1:12" x14ac:dyDescent="0.35">
      <c r="A159" s="292" t="s">
        <v>123</v>
      </c>
      <c r="B159" s="292"/>
      <c r="C159" s="292"/>
      <c r="D159" s="292"/>
      <c r="E159" s="292"/>
      <c r="F159" s="292"/>
      <c r="G159" s="304">
        <f>SUM(G157:J158)</f>
        <v>13124.356085295538</v>
      </c>
      <c r="H159" s="304"/>
      <c r="I159" s="304"/>
      <c r="J159" s="304"/>
    </row>
    <row r="160" spans="1:12" ht="14.5" customHeight="1" x14ac:dyDescent="0.35">
      <c r="A160" s="298" t="s">
        <v>152</v>
      </c>
      <c r="B160" s="299"/>
      <c r="C160" s="299"/>
      <c r="D160" s="299"/>
      <c r="E160" s="299"/>
      <c r="F160" s="300"/>
      <c r="G160" s="305">
        <v>1</v>
      </c>
      <c r="H160" s="306"/>
      <c r="I160" s="306"/>
      <c r="J160" s="307"/>
    </row>
    <row r="161" spans="1:10" x14ac:dyDescent="0.35">
      <c r="A161" s="298" t="s">
        <v>151</v>
      </c>
      <c r="B161" s="299"/>
      <c r="C161" s="299"/>
      <c r="D161" s="299"/>
      <c r="E161" s="299"/>
      <c r="F161" s="300"/>
      <c r="G161" s="301">
        <f>G159*G160</f>
        <v>13124.356085295538</v>
      </c>
      <c r="H161" s="302"/>
      <c r="I161" s="302"/>
      <c r="J161" s="303"/>
    </row>
    <row r="166" spans="1:10" x14ac:dyDescent="0.35">
      <c r="J166" s="21"/>
    </row>
  </sheetData>
  <sheetProtection algorithmName="SHA-512" hashValue="sDw0XZtLmEr8bOjnjfdYc1QkWa22hv61/rbp9EqvwN/NqX4RZFqUpJcT2sd/H6pAy8NnRN0d3NIm8IMYkClfhA==" saltValue="Ua5eNB0HZnGYmrawSCxbNg==" spinCount="100000" sheet="1" objects="1" scenarios="1"/>
  <mergeCells count="339">
    <mergeCell ref="B14:F14"/>
    <mergeCell ref="G14:J14"/>
    <mergeCell ref="A8:J8"/>
    <mergeCell ref="A9:J9"/>
    <mergeCell ref="A10:J10"/>
    <mergeCell ref="B11:F11"/>
    <mergeCell ref="G11:J11"/>
    <mergeCell ref="A19:C19"/>
    <mergeCell ref="D19:E19"/>
    <mergeCell ref="F19:J19"/>
    <mergeCell ref="A15:J15"/>
    <mergeCell ref="A16:J16"/>
    <mergeCell ref="A17:J17"/>
    <mergeCell ref="A18:C18"/>
    <mergeCell ref="D18:E18"/>
    <mergeCell ref="F18:J18"/>
    <mergeCell ref="A1:J1"/>
    <mergeCell ref="A2:J2"/>
    <mergeCell ref="B3:F3"/>
    <mergeCell ref="G3:H3"/>
    <mergeCell ref="I3:J3"/>
    <mergeCell ref="B12:F12"/>
    <mergeCell ref="G12:J12"/>
    <mergeCell ref="B13:F13"/>
    <mergeCell ref="G13:J13"/>
    <mergeCell ref="A4:C4"/>
    <mergeCell ref="D4:J4"/>
    <mergeCell ref="A5:C5"/>
    <mergeCell ref="D5:J5"/>
    <mergeCell ref="A6:C6"/>
    <mergeCell ref="D6:J6"/>
    <mergeCell ref="A7:C7"/>
    <mergeCell ref="D7:J7"/>
    <mergeCell ref="A37:J37"/>
    <mergeCell ref="A38:J38"/>
    <mergeCell ref="A39:J39"/>
    <mergeCell ref="A40:J40"/>
    <mergeCell ref="A41:F41"/>
    <mergeCell ref="G41:J41"/>
    <mergeCell ref="B34:F34"/>
    <mergeCell ref="G34:J34"/>
    <mergeCell ref="B35:F35"/>
    <mergeCell ref="G35:J35"/>
    <mergeCell ref="A36:F36"/>
    <mergeCell ref="G36:J36"/>
    <mergeCell ref="A20:J20"/>
    <mergeCell ref="A21:J21"/>
    <mergeCell ref="A22:J22"/>
    <mergeCell ref="A30:J30"/>
    <mergeCell ref="B31:F31"/>
    <mergeCell ref="G31:J31"/>
    <mergeCell ref="B32:F32"/>
    <mergeCell ref="G32:J32"/>
    <mergeCell ref="B33:F33"/>
    <mergeCell ref="G33:J33"/>
    <mergeCell ref="B26:F26"/>
    <mergeCell ref="G26:J26"/>
    <mergeCell ref="B27:F27"/>
    <mergeCell ref="G27:J27"/>
    <mergeCell ref="A28:J28"/>
    <mergeCell ref="A29:J29"/>
    <mergeCell ref="B23:F23"/>
    <mergeCell ref="G23:J23"/>
    <mergeCell ref="B24:F24"/>
    <mergeCell ref="G24:J24"/>
    <mergeCell ref="B25:F25"/>
    <mergeCell ref="G25:J25"/>
    <mergeCell ref="A46:F46"/>
    <mergeCell ref="G46:H46"/>
    <mergeCell ref="I46:J46"/>
    <mergeCell ref="A42:J42"/>
    <mergeCell ref="B43:F43"/>
    <mergeCell ref="G43:H43"/>
    <mergeCell ref="I43:J43"/>
    <mergeCell ref="B44:F44"/>
    <mergeCell ref="G44:H44"/>
    <mergeCell ref="I44:J44"/>
    <mergeCell ref="B45:F45"/>
    <mergeCell ref="G45:H45"/>
    <mergeCell ref="I45:J45"/>
    <mergeCell ref="B52:F52"/>
    <mergeCell ref="G52:H52"/>
    <mergeCell ref="I52:J52"/>
    <mergeCell ref="B53:F53"/>
    <mergeCell ref="G53:H53"/>
    <mergeCell ref="I53:J53"/>
    <mergeCell ref="A47:J47"/>
    <mergeCell ref="A48:J48"/>
    <mergeCell ref="A49:F49"/>
    <mergeCell ref="G49:J49"/>
    <mergeCell ref="A50:J50"/>
    <mergeCell ref="B51:F51"/>
    <mergeCell ref="G51:H51"/>
    <mergeCell ref="I51:J51"/>
    <mergeCell ref="B56:F56"/>
    <mergeCell ref="G56:H56"/>
    <mergeCell ref="I56:J56"/>
    <mergeCell ref="B57:F57"/>
    <mergeCell ref="G57:H57"/>
    <mergeCell ref="I57:J57"/>
    <mergeCell ref="B54:F54"/>
    <mergeCell ref="G54:H54"/>
    <mergeCell ref="I54:J54"/>
    <mergeCell ref="B55:F55"/>
    <mergeCell ref="G55:H55"/>
    <mergeCell ref="I55:J55"/>
    <mergeCell ref="A60:F60"/>
    <mergeCell ref="G60:H60"/>
    <mergeCell ref="I60:J60"/>
    <mergeCell ref="A61:J61"/>
    <mergeCell ref="A62:J62"/>
    <mergeCell ref="A63:J63"/>
    <mergeCell ref="B58:F58"/>
    <mergeCell ref="G58:H58"/>
    <mergeCell ref="I58:J58"/>
    <mergeCell ref="B59:F59"/>
    <mergeCell ref="G59:H59"/>
    <mergeCell ref="I59:J59"/>
    <mergeCell ref="B66:F66"/>
    <mergeCell ref="G66:H66"/>
    <mergeCell ref="I66:J66"/>
    <mergeCell ref="B67:F67"/>
    <mergeCell ref="G67:H67"/>
    <mergeCell ref="I67:J67"/>
    <mergeCell ref="B64:F64"/>
    <mergeCell ref="G64:H64"/>
    <mergeCell ref="I64:J64"/>
    <mergeCell ref="B65:F65"/>
    <mergeCell ref="G65:H65"/>
    <mergeCell ref="I65:J65"/>
    <mergeCell ref="B70:F70"/>
    <mergeCell ref="G70:H70"/>
    <mergeCell ref="I70:J70"/>
    <mergeCell ref="A71:H71"/>
    <mergeCell ref="I71:J71"/>
    <mergeCell ref="A72:J72"/>
    <mergeCell ref="B68:F68"/>
    <mergeCell ref="G68:H68"/>
    <mergeCell ref="I68:J68"/>
    <mergeCell ref="B69:F69"/>
    <mergeCell ref="G69:H69"/>
    <mergeCell ref="I69:J69"/>
    <mergeCell ref="B77:F77"/>
    <mergeCell ref="G77:J77"/>
    <mergeCell ref="B78:F78"/>
    <mergeCell ref="G78:J78"/>
    <mergeCell ref="A79:F79"/>
    <mergeCell ref="G79:J79"/>
    <mergeCell ref="A73:J73"/>
    <mergeCell ref="A74:J74"/>
    <mergeCell ref="B75:F75"/>
    <mergeCell ref="G75:J75"/>
    <mergeCell ref="B76:F76"/>
    <mergeCell ref="G76:J76"/>
    <mergeCell ref="B85:F85"/>
    <mergeCell ref="G85:H85"/>
    <mergeCell ref="I85:J85"/>
    <mergeCell ref="B86:F86"/>
    <mergeCell ref="I86:J86"/>
    <mergeCell ref="B87:F87"/>
    <mergeCell ref="G87:H87"/>
    <mergeCell ref="I87:J87"/>
    <mergeCell ref="A80:J80"/>
    <mergeCell ref="A81:J81"/>
    <mergeCell ref="A82:J82"/>
    <mergeCell ref="A83:F83"/>
    <mergeCell ref="G83:J83"/>
    <mergeCell ref="A84:J84"/>
    <mergeCell ref="B91:F91"/>
    <mergeCell ref="G91:H91"/>
    <mergeCell ref="I91:J91"/>
    <mergeCell ref="A92:F92"/>
    <mergeCell ref="G92:H92"/>
    <mergeCell ref="I92:J92"/>
    <mergeCell ref="B88:F88"/>
    <mergeCell ref="I88:J88"/>
    <mergeCell ref="B89:F89"/>
    <mergeCell ref="G89:H89"/>
    <mergeCell ref="I89:J89"/>
    <mergeCell ref="B90:F90"/>
    <mergeCell ref="G90:H90"/>
    <mergeCell ref="I90:J90"/>
    <mergeCell ref="A98:J98"/>
    <mergeCell ref="B99:F99"/>
    <mergeCell ref="G99:H99"/>
    <mergeCell ref="I99:J99"/>
    <mergeCell ref="B100:F100"/>
    <mergeCell ref="G100:H100"/>
    <mergeCell ref="I100:J100"/>
    <mergeCell ref="A93:J93"/>
    <mergeCell ref="A94:J94"/>
    <mergeCell ref="A95:J95"/>
    <mergeCell ref="A96:J96"/>
    <mergeCell ref="A97:F97"/>
    <mergeCell ref="G97:J97"/>
    <mergeCell ref="B103:F103"/>
    <mergeCell ref="G103:H103"/>
    <mergeCell ref="I103:J103"/>
    <mergeCell ref="B104:F104"/>
    <mergeCell ref="G104:H104"/>
    <mergeCell ref="I104:J104"/>
    <mergeCell ref="B101:F101"/>
    <mergeCell ref="G101:H101"/>
    <mergeCell ref="I101:J101"/>
    <mergeCell ref="B102:F102"/>
    <mergeCell ref="G102:H102"/>
    <mergeCell ref="I102:J102"/>
    <mergeCell ref="B107:F107"/>
    <mergeCell ref="G107:H107"/>
    <mergeCell ref="I107:J107"/>
    <mergeCell ref="A108:F108"/>
    <mergeCell ref="G108:H108"/>
    <mergeCell ref="I108:J108"/>
    <mergeCell ref="B105:F105"/>
    <mergeCell ref="G105:H105"/>
    <mergeCell ref="I105:J105"/>
    <mergeCell ref="A106:F106"/>
    <mergeCell ref="G106:H106"/>
    <mergeCell ref="I106:J106"/>
    <mergeCell ref="B111:F111"/>
    <mergeCell ref="G111:H111"/>
    <mergeCell ref="I111:J111"/>
    <mergeCell ref="A112:J112"/>
    <mergeCell ref="A113:F113"/>
    <mergeCell ref="G113:J113"/>
    <mergeCell ref="B109:F109"/>
    <mergeCell ref="G109:H109"/>
    <mergeCell ref="I109:J109"/>
    <mergeCell ref="A110:F110"/>
    <mergeCell ref="G110:H110"/>
    <mergeCell ref="I110:J110"/>
    <mergeCell ref="B117:F117"/>
    <mergeCell ref="G117:H117"/>
    <mergeCell ref="I117:J117"/>
    <mergeCell ref="A118:J118"/>
    <mergeCell ref="B119:F119"/>
    <mergeCell ref="G119:J119"/>
    <mergeCell ref="B114:F114"/>
    <mergeCell ref="G114:J114"/>
    <mergeCell ref="B115:F115"/>
    <mergeCell ref="G115:J115"/>
    <mergeCell ref="A116:F116"/>
    <mergeCell ref="G116:J116"/>
    <mergeCell ref="A123:F123"/>
    <mergeCell ref="G123:J123"/>
    <mergeCell ref="B124:F124"/>
    <mergeCell ref="G124:H124"/>
    <mergeCell ref="I124:J124"/>
    <mergeCell ref="B125:F125"/>
    <mergeCell ref="G125:H125"/>
    <mergeCell ref="I125:J125"/>
    <mergeCell ref="B120:F120"/>
    <mergeCell ref="G120:J120"/>
    <mergeCell ref="B121:F121"/>
    <mergeCell ref="G121:J121"/>
    <mergeCell ref="B122:F122"/>
    <mergeCell ref="G122:J122"/>
    <mergeCell ref="B129:F129"/>
    <mergeCell ref="G129:J129"/>
    <mergeCell ref="B130:F130"/>
    <mergeCell ref="G130:J130"/>
    <mergeCell ref="B132:F132"/>
    <mergeCell ref="G132:J132"/>
    <mergeCell ref="A126:J126"/>
    <mergeCell ref="B127:F127"/>
    <mergeCell ref="G127:H127"/>
    <mergeCell ref="I127:J127"/>
    <mergeCell ref="B128:F128"/>
    <mergeCell ref="G128:J128"/>
    <mergeCell ref="B131:F131"/>
    <mergeCell ref="G131:J131"/>
    <mergeCell ref="A136:F136"/>
    <mergeCell ref="G136:J136"/>
    <mergeCell ref="A137:F137"/>
    <mergeCell ref="G137:J137"/>
    <mergeCell ref="A138:F138"/>
    <mergeCell ref="G138:J138"/>
    <mergeCell ref="A133:F133"/>
    <mergeCell ref="G133:J133"/>
    <mergeCell ref="B134:F134"/>
    <mergeCell ref="G134:H134"/>
    <mergeCell ref="I134:J134"/>
    <mergeCell ref="A135:J135"/>
    <mergeCell ref="B141:F141"/>
    <mergeCell ref="G141:H141"/>
    <mergeCell ref="I141:J141"/>
    <mergeCell ref="B142:F142"/>
    <mergeCell ref="G142:H142"/>
    <mergeCell ref="I142:J142"/>
    <mergeCell ref="B139:F139"/>
    <mergeCell ref="G139:H139"/>
    <mergeCell ref="I139:J139"/>
    <mergeCell ref="B140:F140"/>
    <mergeCell ref="G140:H140"/>
    <mergeCell ref="I140:J140"/>
    <mergeCell ref="G146:H146"/>
    <mergeCell ref="I146:J146"/>
    <mergeCell ref="A147:F147"/>
    <mergeCell ref="G147:H147"/>
    <mergeCell ref="I147:J147"/>
    <mergeCell ref="B143:F143"/>
    <mergeCell ref="G143:H143"/>
    <mergeCell ref="I143:J143"/>
    <mergeCell ref="B144:F144"/>
    <mergeCell ref="G144:H144"/>
    <mergeCell ref="I144:J144"/>
    <mergeCell ref="B146:F146"/>
    <mergeCell ref="B145:F145"/>
    <mergeCell ref="G145:H145"/>
    <mergeCell ref="I145:J145"/>
    <mergeCell ref="A161:F161"/>
    <mergeCell ref="G161:J161"/>
    <mergeCell ref="A157:F157"/>
    <mergeCell ref="G157:J157"/>
    <mergeCell ref="B158:F158"/>
    <mergeCell ref="G158:J158"/>
    <mergeCell ref="A159:F159"/>
    <mergeCell ref="G159:J159"/>
    <mergeCell ref="B154:F154"/>
    <mergeCell ref="G154:J154"/>
    <mergeCell ref="B155:F155"/>
    <mergeCell ref="G155:J155"/>
    <mergeCell ref="B156:F156"/>
    <mergeCell ref="G156:J156"/>
    <mergeCell ref="A160:F160"/>
    <mergeCell ref="G160:J160"/>
    <mergeCell ref="B151:F151"/>
    <mergeCell ref="G151:J151"/>
    <mergeCell ref="B152:F152"/>
    <mergeCell ref="G152:J152"/>
    <mergeCell ref="B153:F153"/>
    <mergeCell ref="G153:J153"/>
    <mergeCell ref="B148:F148"/>
    <mergeCell ref="G148:H148"/>
    <mergeCell ref="I148:J148"/>
    <mergeCell ref="A149:J149"/>
    <mergeCell ref="B150:F150"/>
    <mergeCell ref="G150:H150"/>
    <mergeCell ref="I150:J150"/>
  </mergeCells>
  <conditionalFormatting sqref="G159:J159">
    <cfRule type="cellIs" dxfId="528" priority="1" operator="greaterThan">
      <formula>13124.36</formula>
    </cfRule>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D4C6E-4CEB-4157-826D-39ADB2D54054}">
  <sheetPr>
    <tabColor theme="3" tint="0.59999389629810485"/>
  </sheetPr>
  <dimension ref="A1:L165"/>
  <sheetViews>
    <sheetView zoomScale="90" zoomScaleNormal="90" workbookViewId="0">
      <selection sqref="A1:J1"/>
    </sheetView>
  </sheetViews>
  <sheetFormatPr defaultColWidth="8.7265625" defaultRowHeight="14.5" x14ac:dyDescent="0.35"/>
  <cols>
    <col min="1" max="1" width="8.7265625" style="1"/>
    <col min="2" max="2" width="13.26953125" style="1" customWidth="1"/>
    <col min="3" max="3" width="13.453125" style="1" customWidth="1"/>
    <col min="4" max="4" width="12.54296875" style="1" customWidth="1"/>
    <col min="5" max="5" width="13.453125" style="1" customWidth="1"/>
    <col min="6" max="6" width="12.81640625" style="1" customWidth="1"/>
    <col min="7" max="7" width="8.7265625" style="1"/>
    <col min="8" max="8" width="11.54296875" style="1" bestFit="1" customWidth="1"/>
    <col min="9" max="9" width="13" style="1" bestFit="1" customWidth="1"/>
    <col min="10" max="10" width="9.81640625" style="1" bestFit="1" customWidth="1"/>
    <col min="11" max="11" width="8.7265625" style="1"/>
    <col min="12" max="12" width="10.453125" style="1" bestFit="1" customWidth="1"/>
    <col min="13" max="16384" width="8.7265625" style="1"/>
  </cols>
  <sheetData>
    <row r="1" spans="1:10" x14ac:dyDescent="0.35">
      <c r="A1" s="375" t="s">
        <v>0</v>
      </c>
      <c r="B1" s="375"/>
      <c r="C1" s="375"/>
      <c r="D1" s="375"/>
      <c r="E1" s="375"/>
      <c r="F1" s="375"/>
      <c r="G1" s="375"/>
      <c r="H1" s="375"/>
      <c r="I1" s="375"/>
      <c r="J1" s="375"/>
    </row>
    <row r="2" spans="1:10" x14ac:dyDescent="0.35">
      <c r="A2" s="375" t="s">
        <v>1</v>
      </c>
      <c r="B2" s="375"/>
      <c r="C2" s="375"/>
      <c r="D2" s="375"/>
      <c r="E2" s="375"/>
      <c r="F2" s="375"/>
      <c r="G2" s="375"/>
      <c r="H2" s="375"/>
      <c r="I2" s="375"/>
      <c r="J2" s="375"/>
    </row>
    <row r="3" spans="1:10" x14ac:dyDescent="0.35">
      <c r="A3" s="2"/>
      <c r="B3" s="342"/>
      <c r="C3" s="342"/>
      <c r="D3" s="342"/>
      <c r="E3" s="342"/>
      <c r="F3" s="342"/>
      <c r="G3" s="342"/>
      <c r="H3" s="342"/>
      <c r="I3" s="342"/>
      <c r="J3" s="342"/>
    </row>
    <row r="4" spans="1:10" x14ac:dyDescent="0.35">
      <c r="A4" s="440" t="s">
        <v>124</v>
      </c>
      <c r="B4" s="440"/>
      <c r="C4" s="440"/>
      <c r="D4" s="441" t="s">
        <v>171</v>
      </c>
      <c r="E4" s="441"/>
      <c r="F4" s="441"/>
      <c r="G4" s="441"/>
      <c r="H4" s="441"/>
      <c r="I4" s="441"/>
      <c r="J4" s="441"/>
    </row>
    <row r="5" spans="1:10" x14ac:dyDescent="0.35">
      <c r="A5" s="440" t="s">
        <v>168</v>
      </c>
      <c r="B5" s="442"/>
      <c r="C5" s="442"/>
      <c r="D5" s="441" t="s">
        <v>903</v>
      </c>
      <c r="E5" s="441"/>
      <c r="F5" s="441"/>
      <c r="G5" s="441"/>
      <c r="H5" s="441"/>
      <c r="I5" s="441"/>
      <c r="J5" s="441"/>
    </row>
    <row r="6" spans="1:10" x14ac:dyDescent="0.35">
      <c r="A6" s="440" t="s">
        <v>169</v>
      </c>
      <c r="B6" s="440"/>
      <c r="C6" s="440"/>
      <c r="D6" s="441">
        <f>Eletrotécnico!D6</f>
        <v>0</v>
      </c>
      <c r="E6" s="441"/>
      <c r="F6" s="441"/>
      <c r="G6" s="441"/>
      <c r="H6" s="441"/>
      <c r="I6" s="441"/>
      <c r="J6" s="441"/>
    </row>
    <row r="7" spans="1:10" x14ac:dyDescent="0.35">
      <c r="A7" s="440" t="s">
        <v>170</v>
      </c>
      <c r="B7" s="440"/>
      <c r="C7" s="440"/>
      <c r="D7" s="441">
        <f>Eletrotécnico!D7</f>
        <v>0</v>
      </c>
      <c r="E7" s="441"/>
      <c r="F7" s="441"/>
      <c r="G7" s="441"/>
      <c r="H7" s="441"/>
      <c r="I7" s="441"/>
      <c r="J7" s="441"/>
    </row>
    <row r="8" spans="1:10" x14ac:dyDescent="0.35">
      <c r="A8" s="376"/>
      <c r="B8" s="376"/>
      <c r="C8" s="376"/>
      <c r="D8" s="376"/>
      <c r="E8" s="376"/>
      <c r="F8" s="376"/>
      <c r="G8" s="376"/>
      <c r="H8" s="376"/>
      <c r="I8" s="376"/>
      <c r="J8" s="376"/>
    </row>
    <row r="9" spans="1:10" x14ac:dyDescent="0.35">
      <c r="A9" s="375" t="s">
        <v>2</v>
      </c>
      <c r="B9" s="375"/>
      <c r="C9" s="375"/>
      <c r="D9" s="375"/>
      <c r="E9" s="375"/>
      <c r="F9" s="375"/>
      <c r="G9" s="375"/>
      <c r="H9" s="375"/>
      <c r="I9" s="375"/>
      <c r="J9" s="375"/>
    </row>
    <row r="10" spans="1:10" x14ac:dyDescent="0.35">
      <c r="A10" s="422"/>
      <c r="B10" s="422"/>
      <c r="C10" s="422"/>
      <c r="D10" s="422"/>
      <c r="E10" s="422"/>
      <c r="F10" s="422"/>
      <c r="G10" s="422"/>
      <c r="H10" s="422"/>
      <c r="I10" s="422"/>
      <c r="J10" s="422"/>
    </row>
    <row r="11" spans="1:10" x14ac:dyDescent="0.35">
      <c r="A11" s="3" t="s">
        <v>3</v>
      </c>
      <c r="B11" s="436" t="s">
        <v>4</v>
      </c>
      <c r="C11" s="436"/>
      <c r="D11" s="436"/>
      <c r="E11" s="436"/>
      <c r="F11" s="436"/>
      <c r="G11" s="332"/>
      <c r="H11" s="332"/>
      <c r="I11" s="332"/>
      <c r="J11" s="332"/>
    </row>
    <row r="12" spans="1:10" x14ac:dyDescent="0.35">
      <c r="A12" s="3" t="s">
        <v>5</v>
      </c>
      <c r="B12" s="436" t="s">
        <v>6</v>
      </c>
      <c r="C12" s="436"/>
      <c r="D12" s="436"/>
      <c r="E12" s="436"/>
      <c r="F12" s="436"/>
      <c r="G12" s="332" t="s">
        <v>125</v>
      </c>
      <c r="H12" s="332"/>
      <c r="I12" s="332"/>
      <c r="J12" s="332"/>
    </row>
    <row r="13" spans="1:10" ht="14.5" customHeight="1" x14ac:dyDescent="0.35">
      <c r="A13" s="3" t="s">
        <v>7</v>
      </c>
      <c r="B13" s="436" t="s">
        <v>8</v>
      </c>
      <c r="C13" s="436"/>
      <c r="D13" s="436"/>
      <c r="E13" s="436"/>
      <c r="F13" s="436"/>
      <c r="G13" s="437" t="s">
        <v>167</v>
      </c>
      <c r="H13" s="438"/>
      <c r="I13" s="438"/>
      <c r="J13" s="439"/>
    </row>
    <row r="14" spans="1:10" x14ac:dyDescent="0.35">
      <c r="A14" s="3" t="s">
        <v>9</v>
      </c>
      <c r="B14" s="436" t="s">
        <v>10</v>
      </c>
      <c r="C14" s="436"/>
      <c r="D14" s="436"/>
      <c r="E14" s="436"/>
      <c r="F14" s="436"/>
      <c r="G14" s="332" t="s">
        <v>11</v>
      </c>
      <c r="H14" s="332"/>
      <c r="I14" s="332"/>
      <c r="J14" s="332"/>
    </row>
    <row r="15" spans="1:10" x14ac:dyDescent="0.35">
      <c r="A15" s="422"/>
      <c r="B15" s="422"/>
      <c r="C15" s="422"/>
      <c r="D15" s="422"/>
      <c r="E15" s="422"/>
      <c r="F15" s="422"/>
      <c r="G15" s="422"/>
      <c r="H15" s="422"/>
      <c r="I15" s="422"/>
      <c r="J15" s="422"/>
    </row>
    <row r="16" spans="1:10" x14ac:dyDescent="0.35">
      <c r="A16" s="375" t="s">
        <v>12</v>
      </c>
      <c r="B16" s="375"/>
      <c r="C16" s="375"/>
      <c r="D16" s="375"/>
      <c r="E16" s="375"/>
      <c r="F16" s="375"/>
      <c r="G16" s="375"/>
      <c r="H16" s="375"/>
      <c r="I16" s="375"/>
      <c r="J16" s="375"/>
    </row>
    <row r="17" spans="1:12" x14ac:dyDescent="0.35">
      <c r="A17" s="422"/>
      <c r="B17" s="422"/>
      <c r="C17" s="422"/>
      <c r="D17" s="422"/>
      <c r="E17" s="422"/>
      <c r="F17" s="422"/>
      <c r="G17" s="422"/>
      <c r="H17" s="422"/>
      <c r="I17" s="422"/>
      <c r="J17" s="422"/>
    </row>
    <row r="18" spans="1:12" x14ac:dyDescent="0.35">
      <c r="A18" s="424" t="s">
        <v>13</v>
      </c>
      <c r="B18" s="424"/>
      <c r="C18" s="424"/>
      <c r="D18" s="332" t="s">
        <v>14</v>
      </c>
      <c r="E18" s="332"/>
      <c r="F18" s="332" t="s">
        <v>15</v>
      </c>
      <c r="G18" s="332"/>
      <c r="H18" s="332"/>
      <c r="I18" s="332"/>
      <c r="J18" s="332"/>
    </row>
    <row r="19" spans="1:12" x14ac:dyDescent="0.35">
      <c r="A19" s="419" t="s">
        <v>150</v>
      </c>
      <c r="B19" s="419"/>
      <c r="C19" s="419"/>
      <c r="D19" s="444" t="s">
        <v>127</v>
      </c>
      <c r="E19" s="445"/>
      <c r="F19" s="446">
        <v>1</v>
      </c>
      <c r="G19" s="446"/>
      <c r="H19" s="446"/>
      <c r="I19" s="446"/>
      <c r="J19" s="446"/>
    </row>
    <row r="20" spans="1:12" x14ac:dyDescent="0.35">
      <c r="A20" s="422"/>
      <c r="B20" s="422"/>
      <c r="C20" s="422"/>
      <c r="D20" s="422"/>
      <c r="E20" s="422"/>
      <c r="F20" s="422"/>
      <c r="G20" s="422"/>
      <c r="H20" s="422"/>
      <c r="I20" s="422"/>
      <c r="J20" s="422"/>
    </row>
    <row r="21" spans="1:12" x14ac:dyDescent="0.35">
      <c r="A21" s="375" t="s">
        <v>16</v>
      </c>
      <c r="B21" s="375"/>
      <c r="C21" s="375"/>
      <c r="D21" s="375"/>
      <c r="E21" s="375"/>
      <c r="F21" s="375"/>
      <c r="G21" s="375"/>
      <c r="H21" s="375"/>
      <c r="I21" s="375"/>
      <c r="J21" s="375"/>
    </row>
    <row r="22" spans="1:12" x14ac:dyDescent="0.35">
      <c r="A22" s="392"/>
      <c r="B22" s="392"/>
      <c r="C22" s="392"/>
      <c r="D22" s="392"/>
      <c r="E22" s="392"/>
      <c r="F22" s="392"/>
      <c r="G22" s="392"/>
      <c r="H22" s="392"/>
      <c r="I22" s="392"/>
      <c r="J22" s="392"/>
    </row>
    <row r="23" spans="1:12" x14ac:dyDescent="0.35">
      <c r="A23" s="4" t="s">
        <v>17</v>
      </c>
      <c r="B23" s="335" t="s">
        <v>18</v>
      </c>
      <c r="C23" s="335"/>
      <c r="D23" s="335"/>
      <c r="E23" s="335"/>
      <c r="F23" s="335"/>
      <c r="G23" s="424" t="s">
        <v>150</v>
      </c>
      <c r="H23" s="424"/>
      <c r="I23" s="424"/>
      <c r="J23" s="424"/>
      <c r="L23" s="22"/>
    </row>
    <row r="24" spans="1:12" x14ac:dyDescent="0.35">
      <c r="A24" s="4" t="s">
        <v>19</v>
      </c>
      <c r="B24" s="335" t="s">
        <v>20</v>
      </c>
      <c r="C24" s="335"/>
      <c r="D24" s="335"/>
      <c r="E24" s="335"/>
      <c r="F24" s="335"/>
      <c r="G24" s="424" t="s">
        <v>149</v>
      </c>
      <c r="H24" s="424"/>
      <c r="I24" s="424"/>
      <c r="J24" s="424"/>
    </row>
    <row r="25" spans="1:12" x14ac:dyDescent="0.35">
      <c r="A25" s="4" t="s">
        <v>21</v>
      </c>
      <c r="B25" s="335" t="s">
        <v>22</v>
      </c>
      <c r="C25" s="335"/>
      <c r="D25" s="335"/>
      <c r="E25" s="335"/>
      <c r="F25" s="335"/>
      <c r="G25" s="426">
        <v>3350.96</v>
      </c>
      <c r="H25" s="426"/>
      <c r="I25" s="426"/>
      <c r="J25" s="426"/>
    </row>
    <row r="26" spans="1:12" x14ac:dyDescent="0.35">
      <c r="A26" s="4" t="s">
        <v>23</v>
      </c>
      <c r="B26" s="335" t="s">
        <v>24</v>
      </c>
      <c r="C26" s="335"/>
      <c r="D26" s="335"/>
      <c r="E26" s="335"/>
      <c r="F26" s="335"/>
      <c r="G26" s="424" t="s">
        <v>128</v>
      </c>
      <c r="H26" s="424"/>
      <c r="I26" s="424"/>
      <c r="J26" s="424"/>
    </row>
    <row r="27" spans="1:12" x14ac:dyDescent="0.35">
      <c r="A27" s="4" t="s">
        <v>25</v>
      </c>
      <c r="B27" s="335" t="s">
        <v>26</v>
      </c>
      <c r="C27" s="335"/>
      <c r="D27" s="335"/>
      <c r="E27" s="335"/>
      <c r="F27" s="335"/>
      <c r="G27" s="425">
        <v>45292</v>
      </c>
      <c r="H27" s="425"/>
      <c r="I27" s="425"/>
      <c r="J27" s="425"/>
    </row>
    <row r="28" spans="1:12" x14ac:dyDescent="0.35">
      <c r="A28" s="389"/>
      <c r="B28" s="389"/>
      <c r="C28" s="389"/>
      <c r="D28" s="389"/>
      <c r="E28" s="389"/>
      <c r="F28" s="389"/>
      <c r="G28" s="389"/>
      <c r="H28" s="389"/>
      <c r="I28" s="389"/>
      <c r="J28" s="389"/>
    </row>
    <row r="29" spans="1:12" x14ac:dyDescent="0.35">
      <c r="A29" s="375" t="s">
        <v>27</v>
      </c>
      <c r="B29" s="375"/>
      <c r="C29" s="375"/>
      <c r="D29" s="375"/>
      <c r="E29" s="375"/>
      <c r="F29" s="375"/>
      <c r="G29" s="375"/>
      <c r="H29" s="375"/>
      <c r="I29" s="375"/>
      <c r="J29" s="375"/>
    </row>
    <row r="30" spans="1:12" x14ac:dyDescent="0.35">
      <c r="A30" s="392"/>
      <c r="B30" s="392"/>
      <c r="C30" s="392"/>
      <c r="D30" s="392"/>
      <c r="E30" s="392"/>
      <c r="F30" s="392"/>
      <c r="G30" s="392"/>
      <c r="H30" s="392"/>
      <c r="I30" s="392"/>
      <c r="J30" s="392"/>
    </row>
    <row r="31" spans="1:12" x14ac:dyDescent="0.35">
      <c r="A31" s="5">
        <v>1</v>
      </c>
      <c r="B31" s="372" t="s">
        <v>28</v>
      </c>
      <c r="C31" s="372"/>
      <c r="D31" s="372"/>
      <c r="E31" s="372"/>
      <c r="F31" s="372"/>
      <c r="G31" s="423" t="s">
        <v>29</v>
      </c>
      <c r="H31" s="423"/>
      <c r="I31" s="423"/>
      <c r="J31" s="423"/>
    </row>
    <row r="32" spans="1:12" x14ac:dyDescent="0.35">
      <c r="A32" s="6" t="s">
        <v>3</v>
      </c>
      <c r="B32" s="365" t="s">
        <v>30</v>
      </c>
      <c r="C32" s="365"/>
      <c r="D32" s="365"/>
      <c r="E32" s="365"/>
      <c r="F32" s="365"/>
      <c r="G32" s="336">
        <f>G25</f>
        <v>3350.96</v>
      </c>
      <c r="H32" s="336"/>
      <c r="I32" s="336"/>
      <c r="J32" s="336"/>
    </row>
    <row r="33" spans="1:10" x14ac:dyDescent="0.35">
      <c r="A33" s="6" t="s">
        <v>5</v>
      </c>
      <c r="B33" s="365" t="s">
        <v>31</v>
      </c>
      <c r="C33" s="365"/>
      <c r="D33" s="365"/>
      <c r="E33" s="365"/>
      <c r="F33" s="365"/>
      <c r="G33" s="336">
        <f>G32*30%</f>
        <v>1005.288</v>
      </c>
      <c r="H33" s="336"/>
      <c r="I33" s="336"/>
      <c r="J33" s="336"/>
    </row>
    <row r="34" spans="1:10" x14ac:dyDescent="0.35">
      <c r="A34" s="6" t="s">
        <v>7</v>
      </c>
      <c r="B34" s="435" t="s">
        <v>32</v>
      </c>
      <c r="C34" s="435"/>
      <c r="D34" s="435"/>
      <c r="E34" s="435"/>
      <c r="F34" s="435"/>
      <c r="G34" s="336">
        <v>0</v>
      </c>
      <c r="H34" s="336"/>
      <c r="I34" s="336"/>
      <c r="J34" s="336"/>
    </row>
    <row r="35" spans="1:10" x14ac:dyDescent="0.35">
      <c r="A35" s="372" t="s">
        <v>33</v>
      </c>
      <c r="B35" s="372"/>
      <c r="C35" s="372"/>
      <c r="D35" s="372"/>
      <c r="E35" s="372"/>
      <c r="F35" s="372"/>
      <c r="G35" s="333">
        <f>SUM(G32:J34)</f>
        <v>4356.2479999999996</v>
      </c>
      <c r="H35" s="333"/>
      <c r="I35" s="333"/>
      <c r="J35" s="333"/>
    </row>
    <row r="36" spans="1:10" x14ac:dyDescent="0.35">
      <c r="A36" s="389"/>
      <c r="B36" s="389"/>
      <c r="C36" s="389"/>
      <c r="D36" s="389"/>
      <c r="E36" s="389"/>
      <c r="F36" s="389"/>
      <c r="G36" s="389"/>
      <c r="H36" s="389"/>
      <c r="I36" s="389"/>
      <c r="J36" s="389"/>
    </row>
    <row r="37" spans="1:10" x14ac:dyDescent="0.35">
      <c r="A37" s="375" t="s">
        <v>34</v>
      </c>
      <c r="B37" s="375"/>
      <c r="C37" s="375"/>
      <c r="D37" s="375"/>
      <c r="E37" s="375"/>
      <c r="F37" s="375"/>
      <c r="G37" s="375"/>
      <c r="H37" s="375"/>
      <c r="I37" s="375"/>
      <c r="J37" s="375"/>
    </row>
    <row r="38" spans="1:10" x14ac:dyDescent="0.35">
      <c r="A38" s="376"/>
      <c r="B38" s="376"/>
      <c r="C38" s="376"/>
      <c r="D38" s="376"/>
      <c r="E38" s="376"/>
      <c r="F38" s="376"/>
      <c r="G38" s="376"/>
      <c r="H38" s="376"/>
      <c r="I38" s="376"/>
      <c r="J38" s="376"/>
    </row>
    <row r="39" spans="1:10" x14ac:dyDescent="0.35">
      <c r="A39" s="377" t="s">
        <v>35</v>
      </c>
      <c r="B39" s="377"/>
      <c r="C39" s="377"/>
      <c r="D39" s="377"/>
      <c r="E39" s="377"/>
      <c r="F39" s="377"/>
      <c r="G39" s="377"/>
      <c r="H39" s="377"/>
      <c r="I39" s="377"/>
      <c r="J39" s="377"/>
    </row>
    <row r="40" spans="1:10" x14ac:dyDescent="0.35">
      <c r="A40" s="427" t="s">
        <v>36</v>
      </c>
      <c r="B40" s="427"/>
      <c r="C40" s="427"/>
      <c r="D40" s="427"/>
      <c r="E40" s="427"/>
      <c r="F40" s="427"/>
      <c r="G40" s="428">
        <f>G35</f>
        <v>4356.2479999999996</v>
      </c>
      <c r="H40" s="428"/>
      <c r="I40" s="428"/>
      <c r="J40" s="428"/>
    </row>
    <row r="41" spans="1:10" x14ac:dyDescent="0.35">
      <c r="A41" s="392"/>
      <c r="B41" s="392"/>
      <c r="C41" s="392"/>
      <c r="D41" s="392"/>
      <c r="E41" s="392"/>
      <c r="F41" s="392"/>
      <c r="G41" s="392"/>
      <c r="H41" s="392"/>
      <c r="I41" s="392"/>
      <c r="J41" s="392"/>
    </row>
    <row r="42" spans="1:10" x14ac:dyDescent="0.35">
      <c r="A42" s="4" t="s">
        <v>37</v>
      </c>
      <c r="B42" s="332" t="s">
        <v>38</v>
      </c>
      <c r="C42" s="332"/>
      <c r="D42" s="332"/>
      <c r="E42" s="332"/>
      <c r="F42" s="332"/>
      <c r="G42" s="332" t="s">
        <v>39</v>
      </c>
      <c r="H42" s="332"/>
      <c r="I42" s="372" t="s">
        <v>29</v>
      </c>
      <c r="J42" s="372"/>
    </row>
    <row r="43" spans="1:10" x14ac:dyDescent="0.35">
      <c r="A43" s="7" t="s">
        <v>3</v>
      </c>
      <c r="B43" s="335" t="s">
        <v>40</v>
      </c>
      <c r="C43" s="335"/>
      <c r="D43" s="335"/>
      <c r="E43" s="335"/>
      <c r="F43" s="335"/>
      <c r="G43" s="411">
        <v>8.3299999999999999E-2</v>
      </c>
      <c r="H43" s="411"/>
      <c r="I43" s="421">
        <f>G40*G43</f>
        <v>362.87545839999996</v>
      </c>
      <c r="J43" s="421"/>
    </row>
    <row r="44" spans="1:10" x14ac:dyDescent="0.35">
      <c r="A44" s="7" t="s">
        <v>5</v>
      </c>
      <c r="B44" s="335" t="s">
        <v>41</v>
      </c>
      <c r="C44" s="335"/>
      <c r="D44" s="335"/>
      <c r="E44" s="335"/>
      <c r="F44" s="335"/>
      <c r="G44" s="373">
        <v>2.7799999999999998E-2</v>
      </c>
      <c r="H44" s="373"/>
      <c r="I44" s="421">
        <f>G40*G44</f>
        <v>121.10369439999998</v>
      </c>
      <c r="J44" s="421"/>
    </row>
    <row r="45" spans="1:10" x14ac:dyDescent="0.35">
      <c r="A45" s="332" t="s">
        <v>33</v>
      </c>
      <c r="B45" s="332"/>
      <c r="C45" s="332"/>
      <c r="D45" s="332"/>
      <c r="E45" s="332"/>
      <c r="F45" s="332"/>
      <c r="G45" s="411">
        <f>SUM(G43:H44)</f>
        <v>0.1111</v>
      </c>
      <c r="H45" s="419"/>
      <c r="I45" s="420">
        <f>SUM(I43:J44)</f>
        <v>483.97915279999995</v>
      </c>
      <c r="J45" s="420"/>
    </row>
    <row r="46" spans="1:10" x14ac:dyDescent="0.35">
      <c r="A46" s="342"/>
      <c r="B46" s="342"/>
      <c r="C46" s="342"/>
      <c r="D46" s="342"/>
      <c r="E46" s="342"/>
      <c r="F46" s="342"/>
      <c r="G46" s="342"/>
      <c r="H46" s="342"/>
      <c r="I46" s="342"/>
      <c r="J46" s="342"/>
    </row>
    <row r="47" spans="1:10" x14ac:dyDescent="0.35">
      <c r="A47" s="414" t="s">
        <v>42</v>
      </c>
      <c r="B47" s="414"/>
      <c r="C47" s="414"/>
      <c r="D47" s="414"/>
      <c r="E47" s="414"/>
      <c r="F47" s="414"/>
      <c r="G47" s="414"/>
      <c r="H47" s="414"/>
      <c r="I47" s="414"/>
      <c r="J47" s="414"/>
    </row>
    <row r="48" spans="1:10" x14ac:dyDescent="0.35">
      <c r="A48" s="378" t="s">
        <v>43</v>
      </c>
      <c r="B48" s="378"/>
      <c r="C48" s="378"/>
      <c r="D48" s="378"/>
      <c r="E48" s="378"/>
      <c r="F48" s="378"/>
      <c r="G48" s="415">
        <f>G35+I45</f>
        <v>4840.2271527999992</v>
      </c>
      <c r="H48" s="415"/>
      <c r="I48" s="415"/>
      <c r="J48" s="415"/>
    </row>
    <row r="49" spans="1:10" x14ac:dyDescent="0.35">
      <c r="A49" s="416"/>
      <c r="B49" s="416"/>
      <c r="C49" s="416"/>
      <c r="D49" s="416"/>
      <c r="E49" s="416"/>
      <c r="F49" s="416"/>
      <c r="G49" s="416"/>
      <c r="H49" s="416"/>
      <c r="I49" s="416"/>
      <c r="J49" s="416"/>
    </row>
    <row r="50" spans="1:10" x14ac:dyDescent="0.35">
      <c r="A50" s="8" t="s">
        <v>44</v>
      </c>
      <c r="B50" s="417" t="s">
        <v>45</v>
      </c>
      <c r="C50" s="417"/>
      <c r="D50" s="417"/>
      <c r="E50" s="417"/>
      <c r="F50" s="417"/>
      <c r="G50" s="371" t="s">
        <v>39</v>
      </c>
      <c r="H50" s="371"/>
      <c r="I50" s="418" t="s">
        <v>29</v>
      </c>
      <c r="J50" s="418"/>
    </row>
    <row r="51" spans="1:10" x14ac:dyDescent="0.35">
      <c r="A51" s="7" t="s">
        <v>3</v>
      </c>
      <c r="B51" s="335" t="s">
        <v>46</v>
      </c>
      <c r="C51" s="335"/>
      <c r="D51" s="335"/>
      <c r="E51" s="335"/>
      <c r="F51" s="335"/>
      <c r="G51" s="411">
        <f>Eletrotécnico!G52</f>
        <v>0.2</v>
      </c>
      <c r="H51" s="411"/>
      <c r="I51" s="340">
        <f>G48*G51</f>
        <v>968.04543055999989</v>
      </c>
      <c r="J51" s="340"/>
    </row>
    <row r="52" spans="1:10" x14ac:dyDescent="0.35">
      <c r="A52" s="7" t="s">
        <v>5</v>
      </c>
      <c r="B52" s="335" t="s">
        <v>47</v>
      </c>
      <c r="C52" s="335"/>
      <c r="D52" s="335"/>
      <c r="E52" s="335"/>
      <c r="F52" s="335"/>
      <c r="G52" s="411">
        <v>2.5000000000000001E-2</v>
      </c>
      <c r="H52" s="411"/>
      <c r="I52" s="340">
        <f>G48*G52</f>
        <v>121.00567881999999</v>
      </c>
      <c r="J52" s="340"/>
    </row>
    <row r="53" spans="1:10" x14ac:dyDescent="0.35">
      <c r="A53" s="7" t="s">
        <v>7</v>
      </c>
      <c r="B53" s="412" t="s">
        <v>48</v>
      </c>
      <c r="C53" s="412"/>
      <c r="D53" s="412"/>
      <c r="E53" s="412"/>
      <c r="F53" s="412"/>
      <c r="G53" s="413">
        <v>0.03</v>
      </c>
      <c r="H53" s="413"/>
      <c r="I53" s="340">
        <f>G48*G53</f>
        <v>145.20681458399997</v>
      </c>
      <c r="J53" s="340"/>
    </row>
    <row r="54" spans="1:10" x14ac:dyDescent="0.35">
      <c r="A54" s="7" t="s">
        <v>9</v>
      </c>
      <c r="B54" s="335" t="s">
        <v>49</v>
      </c>
      <c r="C54" s="335"/>
      <c r="D54" s="335"/>
      <c r="E54" s="335"/>
      <c r="F54" s="335"/>
      <c r="G54" s="411">
        <v>1.4999999999999999E-2</v>
      </c>
      <c r="H54" s="411"/>
      <c r="I54" s="340">
        <f>G48*G54</f>
        <v>72.603407291999986</v>
      </c>
      <c r="J54" s="340"/>
    </row>
    <row r="55" spans="1:10" x14ac:dyDescent="0.35">
      <c r="A55" s="7" t="s">
        <v>50</v>
      </c>
      <c r="B55" s="335" t="s">
        <v>51</v>
      </c>
      <c r="C55" s="335"/>
      <c r="D55" s="335"/>
      <c r="E55" s="335"/>
      <c r="F55" s="335"/>
      <c r="G55" s="411">
        <v>0.01</v>
      </c>
      <c r="H55" s="411"/>
      <c r="I55" s="340">
        <f>G48*G55</f>
        <v>48.402271527999993</v>
      </c>
      <c r="J55" s="340"/>
    </row>
    <row r="56" spans="1:10" x14ac:dyDescent="0.35">
      <c r="A56" s="7" t="s">
        <v>52</v>
      </c>
      <c r="B56" s="335" t="s">
        <v>53</v>
      </c>
      <c r="C56" s="335"/>
      <c r="D56" s="335"/>
      <c r="E56" s="335"/>
      <c r="F56" s="335"/>
      <c r="G56" s="411">
        <v>6.0000000000000001E-3</v>
      </c>
      <c r="H56" s="411"/>
      <c r="I56" s="340">
        <f>G48*G56</f>
        <v>29.041362916799997</v>
      </c>
      <c r="J56" s="340"/>
    </row>
    <row r="57" spans="1:10" x14ac:dyDescent="0.35">
      <c r="A57" s="7" t="s">
        <v>54</v>
      </c>
      <c r="B57" s="335" t="s">
        <v>55</v>
      </c>
      <c r="C57" s="335"/>
      <c r="D57" s="335"/>
      <c r="E57" s="335"/>
      <c r="F57" s="335"/>
      <c r="G57" s="411">
        <v>2E-3</v>
      </c>
      <c r="H57" s="411"/>
      <c r="I57" s="340">
        <f>G48*G57</f>
        <v>9.6804543055999979</v>
      </c>
      <c r="J57" s="340"/>
    </row>
    <row r="58" spans="1:10" x14ac:dyDescent="0.35">
      <c r="A58" s="7" t="s">
        <v>56</v>
      </c>
      <c r="B58" s="335" t="s">
        <v>57</v>
      </c>
      <c r="C58" s="335"/>
      <c r="D58" s="335"/>
      <c r="E58" s="335"/>
      <c r="F58" s="335"/>
      <c r="G58" s="411">
        <v>0.08</v>
      </c>
      <c r="H58" s="411"/>
      <c r="I58" s="340">
        <f>G48*G58</f>
        <v>387.21817222399994</v>
      </c>
      <c r="J58" s="340"/>
    </row>
    <row r="59" spans="1:10" x14ac:dyDescent="0.35">
      <c r="A59" s="332" t="s">
        <v>58</v>
      </c>
      <c r="B59" s="332"/>
      <c r="C59" s="332"/>
      <c r="D59" s="332"/>
      <c r="E59" s="332"/>
      <c r="F59" s="332"/>
      <c r="G59" s="410">
        <f>SUM(G51:H58)</f>
        <v>0.36800000000000005</v>
      </c>
      <c r="H59" s="332"/>
      <c r="I59" s="341">
        <f>SUM(I51:J58)</f>
        <v>1781.2035922303999</v>
      </c>
      <c r="J59" s="341"/>
    </row>
    <row r="60" spans="1:10" x14ac:dyDescent="0.35">
      <c r="A60" s="389"/>
      <c r="B60" s="389"/>
      <c r="C60" s="389"/>
      <c r="D60" s="389"/>
      <c r="E60" s="389"/>
      <c r="F60" s="389"/>
      <c r="G60" s="389"/>
      <c r="H60" s="389"/>
      <c r="I60" s="389"/>
      <c r="J60" s="389"/>
    </row>
    <row r="61" spans="1:10" x14ac:dyDescent="0.35">
      <c r="A61" s="377" t="s">
        <v>59</v>
      </c>
      <c r="B61" s="377"/>
      <c r="C61" s="377"/>
      <c r="D61" s="377"/>
      <c r="E61" s="377"/>
      <c r="F61" s="377"/>
      <c r="G61" s="377"/>
      <c r="H61" s="377"/>
      <c r="I61" s="377"/>
      <c r="J61" s="377"/>
    </row>
    <row r="62" spans="1:10" x14ac:dyDescent="0.35">
      <c r="A62" s="392"/>
      <c r="B62" s="392"/>
      <c r="C62" s="392"/>
      <c r="D62" s="392"/>
      <c r="E62" s="392"/>
      <c r="F62" s="392"/>
      <c r="G62" s="392"/>
      <c r="H62" s="392"/>
      <c r="I62" s="392"/>
      <c r="J62" s="392"/>
    </row>
    <row r="63" spans="1:10" ht="14.5" customHeight="1" x14ac:dyDescent="0.35">
      <c r="A63" s="9" t="s">
        <v>60</v>
      </c>
      <c r="B63" s="292" t="s">
        <v>61</v>
      </c>
      <c r="C63" s="292"/>
      <c r="D63" s="292"/>
      <c r="E63" s="292"/>
      <c r="F63" s="292"/>
      <c r="G63" s="406" t="s">
        <v>62</v>
      </c>
      <c r="H63" s="407"/>
      <c r="I63" s="298" t="s">
        <v>29</v>
      </c>
      <c r="J63" s="300"/>
    </row>
    <row r="64" spans="1:10" x14ac:dyDescent="0.35">
      <c r="A64" s="10" t="s">
        <v>3</v>
      </c>
      <c r="B64" s="293" t="s">
        <v>63</v>
      </c>
      <c r="C64" s="293"/>
      <c r="D64" s="293"/>
      <c r="E64" s="293"/>
      <c r="F64" s="293"/>
      <c r="G64" s="404">
        <v>0.06</v>
      </c>
      <c r="H64" s="405"/>
      <c r="I64" s="328">
        <f>IF((2*4.9*15.21)-(G64*G32)&lt;0,0,(2*4.9*15.21)-(G64*G32))</f>
        <v>0</v>
      </c>
      <c r="J64" s="330"/>
    </row>
    <row r="65" spans="1:10" x14ac:dyDescent="0.35">
      <c r="A65" s="10" t="s">
        <v>5</v>
      </c>
      <c r="B65" s="293" t="s">
        <v>64</v>
      </c>
      <c r="C65" s="293"/>
      <c r="D65" s="293"/>
      <c r="E65" s="293"/>
      <c r="F65" s="293"/>
      <c r="G65" s="404">
        <v>0</v>
      </c>
      <c r="H65" s="405"/>
      <c r="I65" s="294">
        <f>(42*15.21)-(42*15.21*G65)</f>
        <v>638.82000000000005</v>
      </c>
      <c r="J65" s="294"/>
    </row>
    <row r="66" spans="1:10" x14ac:dyDescent="0.35">
      <c r="A66" s="10" t="s">
        <v>7</v>
      </c>
      <c r="B66" s="293" t="s">
        <v>65</v>
      </c>
      <c r="C66" s="293"/>
      <c r="D66" s="293"/>
      <c r="E66" s="293"/>
      <c r="F66" s="293"/>
      <c r="G66" s="393" t="s">
        <v>66</v>
      </c>
      <c r="H66" s="394"/>
      <c r="I66" s="294">
        <v>109.1</v>
      </c>
      <c r="J66" s="294"/>
    </row>
    <row r="67" spans="1:10" x14ac:dyDescent="0.35">
      <c r="A67" s="10" t="s">
        <v>9</v>
      </c>
      <c r="B67" s="293" t="s">
        <v>67</v>
      </c>
      <c r="C67" s="293"/>
      <c r="D67" s="293"/>
      <c r="E67" s="293"/>
      <c r="F67" s="293"/>
      <c r="G67" s="393" t="s">
        <v>66</v>
      </c>
      <c r="H67" s="394"/>
      <c r="I67" s="294">
        <v>11.35</v>
      </c>
      <c r="J67" s="294"/>
    </row>
    <row r="68" spans="1:10" x14ac:dyDescent="0.35">
      <c r="A68" s="10" t="s">
        <v>50</v>
      </c>
      <c r="B68" s="399" t="s">
        <v>68</v>
      </c>
      <c r="C68" s="400"/>
      <c r="D68" s="400"/>
      <c r="E68" s="400"/>
      <c r="F68" s="401"/>
      <c r="G68" s="402">
        <v>2.6069999999999999E-2</v>
      </c>
      <c r="H68" s="403"/>
      <c r="I68" s="294">
        <f xml:space="preserve"> (503.13*G68)</f>
        <v>13.1165991</v>
      </c>
      <c r="J68" s="294"/>
    </row>
    <row r="69" spans="1:10" x14ac:dyDescent="0.35">
      <c r="A69" s="10" t="s">
        <v>52</v>
      </c>
      <c r="B69" s="335" t="s">
        <v>32</v>
      </c>
      <c r="C69" s="335"/>
      <c r="D69" s="335"/>
      <c r="E69" s="335"/>
      <c r="F69" s="335"/>
      <c r="G69" s="393" t="s">
        <v>66</v>
      </c>
      <c r="H69" s="394"/>
      <c r="I69" s="336">
        <v>0</v>
      </c>
      <c r="J69" s="336"/>
    </row>
    <row r="70" spans="1:10" x14ac:dyDescent="0.35">
      <c r="A70" s="395" t="s">
        <v>33</v>
      </c>
      <c r="B70" s="396"/>
      <c r="C70" s="396"/>
      <c r="D70" s="396"/>
      <c r="E70" s="396"/>
      <c r="F70" s="396"/>
      <c r="G70" s="396"/>
      <c r="H70" s="397"/>
      <c r="I70" s="333">
        <f>SUM(I64:J69)</f>
        <v>772.38659910000013</v>
      </c>
      <c r="J70" s="333"/>
    </row>
    <row r="71" spans="1:10" x14ac:dyDescent="0.35">
      <c r="A71" s="398"/>
      <c r="B71" s="398"/>
      <c r="C71" s="398"/>
      <c r="D71" s="398"/>
      <c r="E71" s="398"/>
      <c r="F71" s="398"/>
      <c r="G71" s="398"/>
      <c r="H71" s="398"/>
      <c r="I71" s="398"/>
      <c r="J71" s="398"/>
    </row>
    <row r="72" spans="1:10" x14ac:dyDescent="0.35">
      <c r="A72" s="377" t="s">
        <v>69</v>
      </c>
      <c r="B72" s="377"/>
      <c r="C72" s="377"/>
      <c r="D72" s="377"/>
      <c r="E72" s="377"/>
      <c r="F72" s="377"/>
      <c r="G72" s="377"/>
      <c r="H72" s="377"/>
      <c r="I72" s="377"/>
      <c r="J72" s="377"/>
    </row>
    <row r="73" spans="1:10" x14ac:dyDescent="0.35">
      <c r="A73" s="392"/>
      <c r="B73" s="392"/>
      <c r="C73" s="392"/>
      <c r="D73" s="392"/>
      <c r="E73" s="392"/>
      <c r="F73" s="392"/>
      <c r="G73" s="392"/>
      <c r="H73" s="392"/>
      <c r="I73" s="392"/>
      <c r="J73" s="392"/>
    </row>
    <row r="74" spans="1:10" x14ac:dyDescent="0.35">
      <c r="A74" s="4">
        <v>2</v>
      </c>
      <c r="B74" s="332" t="s">
        <v>70</v>
      </c>
      <c r="C74" s="332"/>
      <c r="D74" s="332"/>
      <c r="E74" s="332"/>
      <c r="F74" s="332"/>
      <c r="G74" s="332" t="s">
        <v>29</v>
      </c>
      <c r="H74" s="332"/>
      <c r="I74" s="332"/>
      <c r="J74" s="332"/>
    </row>
    <row r="75" spans="1:10" x14ac:dyDescent="0.35">
      <c r="A75" s="7" t="s">
        <v>37</v>
      </c>
      <c r="B75" s="335" t="s">
        <v>38</v>
      </c>
      <c r="C75" s="335"/>
      <c r="D75" s="335"/>
      <c r="E75" s="335"/>
      <c r="F75" s="335"/>
      <c r="G75" s="336">
        <f>I45</f>
        <v>483.97915279999995</v>
      </c>
      <c r="H75" s="336"/>
      <c r="I75" s="336"/>
      <c r="J75" s="336"/>
    </row>
    <row r="76" spans="1:10" x14ac:dyDescent="0.35">
      <c r="A76" s="7" t="s">
        <v>44</v>
      </c>
      <c r="B76" s="335" t="s">
        <v>45</v>
      </c>
      <c r="C76" s="335"/>
      <c r="D76" s="335"/>
      <c r="E76" s="335"/>
      <c r="F76" s="335"/>
      <c r="G76" s="336">
        <f>I59</f>
        <v>1781.2035922303999</v>
      </c>
      <c r="H76" s="336"/>
      <c r="I76" s="336"/>
      <c r="J76" s="336"/>
    </row>
    <row r="77" spans="1:10" x14ac:dyDescent="0.35">
      <c r="A77" s="7" t="s">
        <v>60</v>
      </c>
      <c r="B77" s="335" t="s">
        <v>61</v>
      </c>
      <c r="C77" s="335"/>
      <c r="D77" s="335"/>
      <c r="E77" s="335"/>
      <c r="F77" s="335"/>
      <c r="G77" s="336">
        <f>I70</f>
        <v>772.38659910000013</v>
      </c>
      <c r="H77" s="336"/>
      <c r="I77" s="336"/>
      <c r="J77" s="336"/>
    </row>
    <row r="78" spans="1:10" x14ac:dyDescent="0.35">
      <c r="A78" s="332" t="s">
        <v>33</v>
      </c>
      <c r="B78" s="332"/>
      <c r="C78" s="332"/>
      <c r="D78" s="332"/>
      <c r="E78" s="332"/>
      <c r="F78" s="332"/>
      <c r="G78" s="333">
        <f>SUM(G75:J77)</f>
        <v>3037.5693441304002</v>
      </c>
      <c r="H78" s="333"/>
      <c r="I78" s="333"/>
      <c r="J78" s="333"/>
    </row>
    <row r="79" spans="1:10" x14ac:dyDescent="0.35">
      <c r="A79" s="389"/>
      <c r="B79" s="389"/>
      <c r="C79" s="389"/>
      <c r="D79" s="389"/>
      <c r="E79" s="389"/>
      <c r="F79" s="389"/>
      <c r="G79" s="389"/>
      <c r="H79" s="389"/>
      <c r="I79" s="389"/>
      <c r="J79" s="389"/>
    </row>
    <row r="80" spans="1:10" x14ac:dyDescent="0.35">
      <c r="A80" s="376"/>
      <c r="B80" s="376"/>
      <c r="C80" s="376"/>
      <c r="D80" s="376"/>
      <c r="E80" s="376"/>
      <c r="F80" s="376"/>
      <c r="G80" s="376"/>
      <c r="H80" s="376"/>
      <c r="I80" s="376"/>
      <c r="J80" s="376"/>
    </row>
    <row r="81" spans="1:12" x14ac:dyDescent="0.35">
      <c r="A81" s="375" t="s">
        <v>71</v>
      </c>
      <c r="B81" s="375"/>
      <c r="C81" s="375"/>
      <c r="D81" s="375"/>
      <c r="E81" s="375"/>
      <c r="F81" s="375"/>
      <c r="G81" s="375"/>
      <c r="H81" s="375"/>
      <c r="I81" s="375"/>
      <c r="J81" s="375"/>
    </row>
    <row r="82" spans="1:12" x14ac:dyDescent="0.35">
      <c r="A82" s="378" t="s">
        <v>72</v>
      </c>
      <c r="B82" s="378"/>
      <c r="C82" s="378"/>
      <c r="D82" s="378"/>
      <c r="E82" s="378"/>
      <c r="F82" s="378"/>
      <c r="G82" s="390">
        <f>G35</f>
        <v>4356.2479999999996</v>
      </c>
      <c r="H82" s="390"/>
      <c r="I82" s="390"/>
      <c r="J82" s="390"/>
    </row>
    <row r="83" spans="1:12" x14ac:dyDescent="0.35">
      <c r="A83" s="391"/>
      <c r="B83" s="391"/>
      <c r="C83" s="391"/>
      <c r="D83" s="391"/>
      <c r="E83" s="391"/>
      <c r="F83" s="391"/>
      <c r="G83" s="391"/>
      <c r="H83" s="391"/>
      <c r="I83" s="391"/>
      <c r="J83" s="391"/>
    </row>
    <row r="84" spans="1:12" x14ac:dyDescent="0.35">
      <c r="A84" s="5">
        <v>3</v>
      </c>
      <c r="B84" s="372" t="s">
        <v>73</v>
      </c>
      <c r="C84" s="372"/>
      <c r="D84" s="372"/>
      <c r="E84" s="372"/>
      <c r="F84" s="372"/>
      <c r="G84" s="387" t="s">
        <v>39</v>
      </c>
      <c r="H84" s="387"/>
      <c r="I84" s="372" t="s">
        <v>29</v>
      </c>
      <c r="J84" s="372"/>
    </row>
    <row r="85" spans="1:12" x14ac:dyDescent="0.35">
      <c r="A85" s="6" t="s">
        <v>3</v>
      </c>
      <c r="B85" s="380" t="s">
        <v>74</v>
      </c>
      <c r="C85" s="380"/>
      <c r="D85" s="380"/>
      <c r="E85" s="380"/>
      <c r="F85" s="380"/>
      <c r="G85" s="25">
        <v>0.05</v>
      </c>
      <c r="H85" s="11">
        <f>(1/12)*G85</f>
        <v>4.1666666666666666E-3</v>
      </c>
      <c r="I85" s="340">
        <f>G82*H85</f>
        <v>18.151033333333331</v>
      </c>
      <c r="J85" s="340"/>
    </row>
    <row r="86" spans="1:12" x14ac:dyDescent="0.35">
      <c r="A86" s="6" t="s">
        <v>5</v>
      </c>
      <c r="B86" s="380" t="s">
        <v>75</v>
      </c>
      <c r="C86" s="380"/>
      <c r="D86" s="380"/>
      <c r="E86" s="380"/>
      <c r="F86" s="380"/>
      <c r="G86" s="373">
        <f>H85*0.08</f>
        <v>3.3333333333333332E-4</v>
      </c>
      <c r="H86" s="373"/>
      <c r="I86" s="388">
        <f>G82*G86</f>
        <v>1.4520826666666664</v>
      </c>
      <c r="J86" s="388"/>
    </row>
    <row r="87" spans="1:12" x14ac:dyDescent="0.35">
      <c r="A87" s="6" t="s">
        <v>7</v>
      </c>
      <c r="B87" s="380" t="s">
        <v>76</v>
      </c>
      <c r="C87" s="380"/>
      <c r="D87" s="380"/>
      <c r="E87" s="380"/>
      <c r="F87" s="380"/>
      <c r="G87" s="25">
        <v>0.9</v>
      </c>
      <c r="H87" s="11">
        <f>(1+2/12+(1/3*1/12))*0.08*0.4*G87</f>
        <v>3.4400000000000007E-2</v>
      </c>
      <c r="I87" s="385">
        <f>G82*H87</f>
        <v>149.85493120000001</v>
      </c>
      <c r="J87" s="386"/>
    </row>
    <row r="88" spans="1:12" x14ac:dyDescent="0.35">
      <c r="A88" s="6" t="s">
        <v>9</v>
      </c>
      <c r="B88" s="380" t="s">
        <v>77</v>
      </c>
      <c r="C88" s="380"/>
      <c r="D88" s="380"/>
      <c r="E88" s="380"/>
      <c r="F88" s="380"/>
      <c r="G88" s="373">
        <f>((7/30) + (7/30*0.1))/ 24</f>
        <v>1.0694444444444444E-2</v>
      </c>
      <c r="H88" s="373"/>
      <c r="I88" s="385">
        <f>G82*G88</f>
        <v>46.587652222222218</v>
      </c>
      <c r="J88" s="386"/>
      <c r="L88" s="12"/>
    </row>
    <row r="89" spans="1:12" x14ac:dyDescent="0.35">
      <c r="A89" s="6" t="s">
        <v>50</v>
      </c>
      <c r="B89" s="380" t="s">
        <v>78</v>
      </c>
      <c r="C89" s="380"/>
      <c r="D89" s="380"/>
      <c r="E89" s="380"/>
      <c r="F89" s="380"/>
      <c r="G89" s="373">
        <f>G88*G59</f>
        <v>3.9355555555555559E-3</v>
      </c>
      <c r="H89" s="373"/>
      <c r="I89" s="385">
        <f>G82*G89</f>
        <v>17.144256017777778</v>
      </c>
      <c r="J89" s="386"/>
    </row>
    <row r="90" spans="1:12" x14ac:dyDescent="0.35">
      <c r="A90" s="6" t="s">
        <v>52</v>
      </c>
      <c r="B90" s="380" t="s">
        <v>79</v>
      </c>
      <c r="C90" s="380"/>
      <c r="D90" s="380"/>
      <c r="E90" s="380"/>
      <c r="F90" s="380"/>
      <c r="G90" s="381">
        <f>G88*0.08*0.4</f>
        <v>3.4222222222222228E-4</v>
      </c>
      <c r="H90" s="381"/>
      <c r="I90" s="382">
        <f>G82*G90</f>
        <v>1.4908048711111113</v>
      </c>
      <c r="J90" s="383"/>
    </row>
    <row r="91" spans="1:12" x14ac:dyDescent="0.35">
      <c r="A91" s="372" t="s">
        <v>33</v>
      </c>
      <c r="B91" s="372"/>
      <c r="C91" s="372"/>
      <c r="D91" s="372"/>
      <c r="E91" s="372"/>
      <c r="F91" s="372"/>
      <c r="G91" s="384">
        <f>SUM(H85,G86,H87,G88,G89,G90)</f>
        <v>5.3872222222222224E-2</v>
      </c>
      <c r="H91" s="384"/>
      <c r="I91" s="341">
        <f>SUM(I85:J90)</f>
        <v>234.68076031111113</v>
      </c>
      <c r="J91" s="341"/>
    </row>
    <row r="92" spans="1:12" x14ac:dyDescent="0.35">
      <c r="A92" s="374"/>
      <c r="B92" s="374"/>
      <c r="C92" s="374"/>
      <c r="D92" s="374"/>
      <c r="E92" s="374"/>
      <c r="F92" s="374"/>
      <c r="G92" s="374"/>
      <c r="H92" s="374"/>
      <c r="I92" s="374"/>
      <c r="J92" s="374"/>
    </row>
    <row r="93" spans="1:12" x14ac:dyDescent="0.35">
      <c r="A93" s="375" t="s">
        <v>80</v>
      </c>
      <c r="B93" s="375"/>
      <c r="C93" s="375"/>
      <c r="D93" s="375"/>
      <c r="E93" s="375"/>
      <c r="F93" s="375"/>
      <c r="G93" s="375"/>
      <c r="H93" s="375"/>
      <c r="I93" s="375"/>
      <c r="J93" s="375"/>
    </row>
    <row r="94" spans="1:12" x14ac:dyDescent="0.35">
      <c r="A94" s="376"/>
      <c r="B94" s="376"/>
      <c r="C94" s="376"/>
      <c r="D94" s="376"/>
      <c r="E94" s="376"/>
      <c r="F94" s="376"/>
      <c r="G94" s="376"/>
      <c r="H94" s="376"/>
      <c r="I94" s="376"/>
      <c r="J94" s="376"/>
    </row>
    <row r="95" spans="1:12" x14ac:dyDescent="0.35">
      <c r="A95" s="377" t="s">
        <v>81</v>
      </c>
      <c r="B95" s="377"/>
      <c r="C95" s="377"/>
      <c r="D95" s="377"/>
      <c r="E95" s="377"/>
      <c r="F95" s="377"/>
      <c r="G95" s="377"/>
      <c r="H95" s="377"/>
      <c r="I95" s="377"/>
      <c r="J95" s="377"/>
    </row>
    <row r="96" spans="1:12" x14ac:dyDescent="0.35">
      <c r="A96" s="378" t="s">
        <v>82</v>
      </c>
      <c r="B96" s="378"/>
      <c r="C96" s="378"/>
      <c r="D96" s="378"/>
      <c r="E96" s="378"/>
      <c r="F96" s="378"/>
      <c r="G96" s="379">
        <f>G35</f>
        <v>4356.2479999999996</v>
      </c>
      <c r="H96" s="379"/>
      <c r="I96" s="379"/>
      <c r="J96" s="379"/>
    </row>
    <row r="97" spans="1:10" x14ac:dyDescent="0.35">
      <c r="A97" s="370"/>
      <c r="B97" s="370"/>
      <c r="C97" s="370"/>
      <c r="D97" s="370"/>
      <c r="E97" s="370"/>
      <c r="F97" s="370"/>
      <c r="G97" s="370"/>
      <c r="H97" s="370"/>
      <c r="I97" s="370"/>
      <c r="J97" s="370"/>
    </row>
    <row r="98" spans="1:10" x14ac:dyDescent="0.35">
      <c r="A98" s="13" t="s">
        <v>83</v>
      </c>
      <c r="B98" s="371" t="s">
        <v>84</v>
      </c>
      <c r="C98" s="371"/>
      <c r="D98" s="371"/>
      <c r="E98" s="371"/>
      <c r="F98" s="371"/>
      <c r="G98" s="372" t="s">
        <v>85</v>
      </c>
      <c r="H98" s="372"/>
      <c r="I98" s="332" t="s">
        <v>29</v>
      </c>
      <c r="J98" s="332"/>
    </row>
    <row r="99" spans="1:10" x14ac:dyDescent="0.35">
      <c r="A99" s="7" t="s">
        <v>3</v>
      </c>
      <c r="B99" s="335" t="s">
        <v>86</v>
      </c>
      <c r="C99" s="335"/>
      <c r="D99" s="335"/>
      <c r="E99" s="335"/>
      <c r="F99" s="335"/>
      <c r="G99" s="373">
        <f>1/12</f>
        <v>8.3333333333333329E-2</v>
      </c>
      <c r="H99" s="373"/>
      <c r="I99" s="336">
        <f>G99*G96</f>
        <v>363.02066666666661</v>
      </c>
      <c r="J99" s="336"/>
    </row>
    <row r="100" spans="1:10" x14ac:dyDescent="0.35">
      <c r="A100" s="6" t="s">
        <v>5</v>
      </c>
      <c r="B100" s="365" t="s">
        <v>87</v>
      </c>
      <c r="C100" s="365"/>
      <c r="D100" s="365"/>
      <c r="E100" s="365"/>
      <c r="F100" s="365"/>
      <c r="G100" s="366">
        <f>(1/30)/12</f>
        <v>2.7777777777777779E-3</v>
      </c>
      <c r="H100" s="366"/>
      <c r="I100" s="336">
        <f>G96*G100</f>
        <v>12.100688888888888</v>
      </c>
      <c r="J100" s="336"/>
    </row>
    <row r="101" spans="1:10" x14ac:dyDescent="0.35">
      <c r="A101" s="6" t="s">
        <v>7</v>
      </c>
      <c r="B101" s="365" t="s">
        <v>88</v>
      </c>
      <c r="C101" s="365"/>
      <c r="D101" s="365"/>
      <c r="E101" s="365"/>
      <c r="F101" s="365"/>
      <c r="G101" s="366">
        <f>(5/30)/12*0.015</f>
        <v>2.0833333333333332E-4</v>
      </c>
      <c r="H101" s="366"/>
      <c r="I101" s="336">
        <f>G96*G101</f>
        <v>0.90755166666666653</v>
      </c>
      <c r="J101" s="336"/>
    </row>
    <row r="102" spans="1:10" x14ac:dyDescent="0.35">
      <c r="A102" s="6" t="s">
        <v>9</v>
      </c>
      <c r="B102" s="365" t="s">
        <v>89</v>
      </c>
      <c r="C102" s="365"/>
      <c r="D102" s="365"/>
      <c r="E102" s="365"/>
      <c r="F102" s="365"/>
      <c r="G102" s="366">
        <f>1/12*0.0078</f>
        <v>6.4999999999999997E-4</v>
      </c>
      <c r="H102" s="366"/>
      <c r="I102" s="336">
        <f>G96*G102</f>
        <v>2.8315611999999994</v>
      </c>
      <c r="J102" s="336"/>
    </row>
    <row r="103" spans="1:10" x14ac:dyDescent="0.35">
      <c r="A103" s="6" t="s">
        <v>50</v>
      </c>
      <c r="B103" s="365" t="s">
        <v>90</v>
      </c>
      <c r="C103" s="365"/>
      <c r="D103" s="365"/>
      <c r="E103" s="365"/>
      <c r="F103" s="365"/>
      <c r="G103" s="366">
        <f>((1/12)+(1/3*1/12))*0.02607*6/12</f>
        <v>1.4483333333333334E-3</v>
      </c>
      <c r="H103" s="366"/>
      <c r="I103" s="336">
        <f>G96*G103</f>
        <v>6.3092991866666663</v>
      </c>
      <c r="J103" s="336"/>
    </row>
    <row r="104" spans="1:10" x14ac:dyDescent="0.35">
      <c r="A104" s="6" t="s">
        <v>52</v>
      </c>
      <c r="B104" s="365" t="s">
        <v>91</v>
      </c>
      <c r="C104" s="365"/>
      <c r="D104" s="365"/>
      <c r="E104" s="365"/>
      <c r="F104" s="365"/>
      <c r="G104" s="366">
        <f>(5/30/12)</f>
        <v>1.3888888888888888E-2</v>
      </c>
      <c r="H104" s="366"/>
      <c r="I104" s="336">
        <f>G96*G104</f>
        <v>60.503444444444433</v>
      </c>
      <c r="J104" s="336"/>
    </row>
    <row r="105" spans="1:10" x14ac:dyDescent="0.35">
      <c r="A105" s="367" t="s">
        <v>92</v>
      </c>
      <c r="B105" s="367"/>
      <c r="C105" s="367"/>
      <c r="D105" s="367"/>
      <c r="E105" s="367"/>
      <c r="F105" s="367"/>
      <c r="G105" s="368">
        <f>SUM(G99:H104)</f>
        <v>0.10230666666666666</v>
      </c>
      <c r="H105" s="368"/>
      <c r="I105" s="369">
        <f>SUM(I99:J104)</f>
        <v>445.67321205333332</v>
      </c>
      <c r="J105" s="369"/>
    </row>
    <row r="106" spans="1:10" x14ac:dyDescent="0.35">
      <c r="A106" s="14" t="s">
        <v>54</v>
      </c>
      <c r="B106" s="352" t="s">
        <v>93</v>
      </c>
      <c r="C106" s="352"/>
      <c r="D106" s="352"/>
      <c r="E106" s="352"/>
      <c r="F106" s="353"/>
      <c r="G106" s="347">
        <f>(G105-G103)*(2/12+(1/3*1/12))</f>
        <v>1.961134259259259E-2</v>
      </c>
      <c r="H106" s="353"/>
      <c r="I106" s="349">
        <f>G96*G106</f>
        <v>85.431871946296283</v>
      </c>
      <c r="J106" s="350"/>
    </row>
    <row r="107" spans="1:10" x14ac:dyDescent="0.35">
      <c r="A107" s="358" t="s">
        <v>94</v>
      </c>
      <c r="B107" s="359"/>
      <c r="C107" s="359"/>
      <c r="D107" s="359"/>
      <c r="E107" s="359"/>
      <c r="F107" s="360"/>
      <c r="G107" s="361">
        <f>SUM(G105:H106)</f>
        <v>0.12191800925925925</v>
      </c>
      <c r="H107" s="362"/>
      <c r="I107" s="363">
        <f>SUM(I105:J106)</f>
        <v>531.10508399962964</v>
      </c>
      <c r="J107" s="364"/>
    </row>
    <row r="108" spans="1:10" x14ac:dyDescent="0.35">
      <c r="A108" s="14" t="s">
        <v>56</v>
      </c>
      <c r="B108" s="345" t="s">
        <v>95</v>
      </c>
      <c r="C108" s="345"/>
      <c r="D108" s="345"/>
      <c r="E108" s="345"/>
      <c r="F108" s="346"/>
      <c r="G108" s="347">
        <f>G107*G59</f>
        <v>4.486582740740741E-2</v>
      </c>
      <c r="H108" s="348"/>
      <c r="I108" s="349">
        <f>G96*G108</f>
        <v>195.44667091186369</v>
      </c>
      <c r="J108" s="350"/>
    </row>
    <row r="109" spans="1:10" x14ac:dyDescent="0.35">
      <c r="A109" s="351" t="s">
        <v>33</v>
      </c>
      <c r="B109" s="352"/>
      <c r="C109" s="352"/>
      <c r="D109" s="352"/>
      <c r="E109" s="352"/>
      <c r="F109" s="353"/>
      <c r="G109" s="354">
        <f>SUM(G107:H108)</f>
        <v>0.16678383666666666</v>
      </c>
      <c r="H109" s="355"/>
      <c r="I109" s="356">
        <f>G96*G109</f>
        <v>726.55175491149328</v>
      </c>
      <c r="J109" s="357"/>
    </row>
    <row r="110" spans="1:10" x14ac:dyDescent="0.35">
      <c r="A110" s="2"/>
      <c r="B110" s="342"/>
      <c r="C110" s="342"/>
      <c r="D110" s="342"/>
      <c r="E110" s="342"/>
      <c r="F110" s="342"/>
      <c r="G110" s="342"/>
      <c r="H110" s="342"/>
      <c r="I110" s="342"/>
      <c r="J110" s="342"/>
    </row>
    <row r="111" spans="1:10" x14ac:dyDescent="0.35">
      <c r="A111" s="338" t="s">
        <v>96</v>
      </c>
      <c r="B111" s="338"/>
      <c r="C111" s="338"/>
      <c r="D111" s="338"/>
      <c r="E111" s="338"/>
      <c r="F111" s="338"/>
      <c r="G111" s="338"/>
      <c r="H111" s="338"/>
      <c r="I111" s="338"/>
      <c r="J111" s="338"/>
    </row>
    <row r="112" spans="1:10" x14ac:dyDescent="0.35">
      <c r="A112" s="343"/>
      <c r="B112" s="343"/>
      <c r="C112" s="343"/>
      <c r="D112" s="343"/>
      <c r="E112" s="343"/>
      <c r="F112" s="343"/>
      <c r="G112" s="344"/>
      <c r="H112" s="344"/>
      <c r="I112" s="344"/>
      <c r="J112" s="344"/>
    </row>
    <row r="113" spans="1:10" x14ac:dyDescent="0.35">
      <c r="A113" s="4" t="s">
        <v>97</v>
      </c>
      <c r="B113" s="332" t="s">
        <v>98</v>
      </c>
      <c r="C113" s="332"/>
      <c r="D113" s="332"/>
      <c r="E113" s="332"/>
      <c r="F113" s="332"/>
      <c r="G113" s="332" t="s">
        <v>29</v>
      </c>
      <c r="H113" s="332"/>
      <c r="I113" s="332"/>
      <c r="J113" s="332"/>
    </row>
    <row r="114" spans="1:10" x14ac:dyDescent="0.35">
      <c r="A114" s="7" t="s">
        <v>3</v>
      </c>
      <c r="B114" s="335" t="s">
        <v>99</v>
      </c>
      <c r="C114" s="335"/>
      <c r="D114" s="335"/>
      <c r="E114" s="335"/>
      <c r="F114" s="335"/>
      <c r="G114" s="340">
        <v>0</v>
      </c>
      <c r="H114" s="340"/>
      <c r="I114" s="340"/>
      <c r="J114" s="340"/>
    </row>
    <row r="115" spans="1:10" x14ac:dyDescent="0.35">
      <c r="A115" s="332" t="s">
        <v>33</v>
      </c>
      <c r="B115" s="332"/>
      <c r="C115" s="332"/>
      <c r="D115" s="332"/>
      <c r="E115" s="332"/>
      <c r="F115" s="332"/>
      <c r="G115" s="341">
        <f>SUM(G114)</f>
        <v>0</v>
      </c>
      <c r="H115" s="341"/>
      <c r="I115" s="341"/>
      <c r="J115" s="341"/>
    </row>
    <row r="116" spans="1:10" x14ac:dyDescent="0.35">
      <c r="A116" s="15"/>
      <c r="B116" s="334"/>
      <c r="C116" s="334"/>
      <c r="D116" s="334"/>
      <c r="E116" s="334"/>
      <c r="F116" s="334"/>
      <c r="G116" s="334"/>
      <c r="H116" s="334"/>
      <c r="I116" s="334"/>
      <c r="J116" s="334"/>
    </row>
    <row r="117" spans="1:10" x14ac:dyDescent="0.35">
      <c r="A117" s="338" t="s">
        <v>100</v>
      </c>
      <c r="B117" s="338"/>
      <c r="C117" s="338"/>
      <c r="D117" s="338"/>
      <c r="E117" s="338"/>
      <c r="F117" s="338"/>
      <c r="G117" s="338"/>
      <c r="H117" s="338"/>
      <c r="I117" s="338"/>
      <c r="J117" s="338"/>
    </row>
    <row r="118" spans="1:10" x14ac:dyDescent="0.35">
      <c r="A118" s="15"/>
      <c r="B118" s="334"/>
      <c r="C118" s="334"/>
      <c r="D118" s="334"/>
      <c r="E118" s="334"/>
      <c r="F118" s="334"/>
      <c r="G118" s="339"/>
      <c r="H118" s="339"/>
      <c r="I118" s="339"/>
      <c r="J118" s="339"/>
    </row>
    <row r="119" spans="1:10" x14ac:dyDescent="0.35">
      <c r="A119" s="4">
        <v>4</v>
      </c>
      <c r="B119" s="332" t="s">
        <v>101</v>
      </c>
      <c r="C119" s="332"/>
      <c r="D119" s="332"/>
      <c r="E119" s="332"/>
      <c r="F119" s="332"/>
      <c r="G119" s="332" t="s">
        <v>29</v>
      </c>
      <c r="H119" s="332"/>
      <c r="I119" s="332"/>
      <c r="J119" s="332"/>
    </row>
    <row r="120" spans="1:10" x14ac:dyDescent="0.35">
      <c r="A120" s="7" t="s">
        <v>83</v>
      </c>
      <c r="B120" s="335" t="s">
        <v>102</v>
      </c>
      <c r="C120" s="335"/>
      <c r="D120" s="335"/>
      <c r="E120" s="335"/>
      <c r="F120" s="335"/>
      <c r="G120" s="336">
        <f>I109</f>
        <v>726.55175491149328</v>
      </c>
      <c r="H120" s="336"/>
      <c r="I120" s="336"/>
      <c r="J120" s="336"/>
    </row>
    <row r="121" spans="1:10" x14ac:dyDescent="0.35">
      <c r="A121" s="7" t="s">
        <v>97</v>
      </c>
      <c r="B121" s="337" t="s">
        <v>103</v>
      </c>
      <c r="C121" s="337"/>
      <c r="D121" s="337"/>
      <c r="E121" s="337"/>
      <c r="F121" s="337"/>
      <c r="G121" s="336">
        <f>G115</f>
        <v>0</v>
      </c>
      <c r="H121" s="336"/>
      <c r="I121" s="336"/>
      <c r="J121" s="336"/>
    </row>
    <row r="122" spans="1:10" x14ac:dyDescent="0.35">
      <c r="A122" s="332" t="s">
        <v>33</v>
      </c>
      <c r="B122" s="332"/>
      <c r="C122" s="332"/>
      <c r="D122" s="332"/>
      <c r="E122" s="332"/>
      <c r="F122" s="332"/>
      <c r="G122" s="333">
        <f>SUM(G120:J121)</f>
        <v>726.55175491149328</v>
      </c>
      <c r="H122" s="333"/>
      <c r="I122" s="333"/>
      <c r="J122" s="333"/>
    </row>
    <row r="123" spans="1:10" x14ac:dyDescent="0.35">
      <c r="A123" s="15"/>
      <c r="B123" s="334"/>
      <c r="C123" s="334"/>
      <c r="D123" s="334"/>
      <c r="E123" s="334"/>
      <c r="F123" s="334"/>
      <c r="G123" s="334"/>
      <c r="H123" s="334"/>
      <c r="I123" s="334"/>
      <c r="J123" s="334"/>
    </row>
    <row r="124" spans="1:10" x14ac:dyDescent="0.35">
      <c r="A124" s="324" t="s">
        <v>104</v>
      </c>
      <c r="B124" s="324"/>
      <c r="C124" s="324"/>
      <c r="D124" s="324"/>
      <c r="E124" s="324"/>
      <c r="F124" s="324"/>
      <c r="G124" s="324"/>
      <c r="H124" s="324"/>
      <c r="I124" s="324"/>
      <c r="J124" s="324"/>
    </row>
    <row r="125" spans="1:10" x14ac:dyDescent="0.35">
      <c r="A125" s="16"/>
      <c r="B125" s="331"/>
      <c r="C125" s="331"/>
      <c r="D125" s="331"/>
      <c r="E125" s="331"/>
      <c r="F125" s="331"/>
      <c r="G125" s="331"/>
      <c r="H125" s="331"/>
      <c r="I125" s="331"/>
      <c r="J125" s="331"/>
    </row>
    <row r="126" spans="1:10" x14ac:dyDescent="0.35">
      <c r="A126" s="9">
        <v>5</v>
      </c>
      <c r="B126" s="317" t="s">
        <v>105</v>
      </c>
      <c r="C126" s="317"/>
      <c r="D126" s="317"/>
      <c r="E126" s="317"/>
      <c r="F126" s="317"/>
      <c r="G126" s="292" t="s">
        <v>29</v>
      </c>
      <c r="H126" s="292"/>
      <c r="I126" s="292"/>
      <c r="J126" s="292"/>
    </row>
    <row r="127" spans="1:10" x14ac:dyDescent="0.35">
      <c r="A127" s="10" t="s">
        <v>3</v>
      </c>
      <c r="B127" s="293" t="s">
        <v>106</v>
      </c>
      <c r="C127" s="293"/>
      <c r="D127" s="293"/>
      <c r="E127" s="293"/>
      <c r="F127" s="293"/>
      <c r="G127" s="294">
        <f>Insumos!G7</f>
        <v>50.609583333333326</v>
      </c>
      <c r="H127" s="294"/>
      <c r="I127" s="294"/>
      <c r="J127" s="294"/>
    </row>
    <row r="128" spans="1:10" x14ac:dyDescent="0.35">
      <c r="A128" s="10" t="s">
        <v>5</v>
      </c>
      <c r="B128" s="325" t="s">
        <v>369</v>
      </c>
      <c r="C128" s="326"/>
      <c r="D128" s="326"/>
      <c r="E128" s="326"/>
      <c r="F128" s="327"/>
      <c r="G128" s="328">
        <f>Insumos!G26</f>
        <v>18.604125000000003</v>
      </c>
      <c r="H128" s="329"/>
      <c r="I128" s="329"/>
      <c r="J128" s="330"/>
    </row>
    <row r="129" spans="1:10" x14ac:dyDescent="0.35">
      <c r="A129" s="10" t="s">
        <v>7</v>
      </c>
      <c r="B129" s="325" t="s">
        <v>367</v>
      </c>
      <c r="C129" s="326"/>
      <c r="D129" s="326"/>
      <c r="E129" s="326"/>
      <c r="F129" s="327"/>
      <c r="G129" s="328">
        <f>Insumos!G34</f>
        <v>10</v>
      </c>
      <c r="H129" s="329"/>
      <c r="I129" s="329"/>
      <c r="J129" s="330"/>
    </row>
    <row r="130" spans="1:10" ht="14.5" customHeight="1" x14ac:dyDescent="0.35">
      <c r="A130" s="10" t="s">
        <v>9</v>
      </c>
      <c r="B130" s="325" t="s">
        <v>368</v>
      </c>
      <c r="C130" s="326"/>
      <c r="D130" s="326"/>
      <c r="E130" s="326"/>
      <c r="F130" s="327"/>
      <c r="G130" s="328">
        <f>Insumos!H191</f>
        <v>66.102322500000014</v>
      </c>
      <c r="H130" s="329"/>
      <c r="I130" s="329"/>
      <c r="J130" s="330"/>
    </row>
    <row r="131" spans="1:10" x14ac:dyDescent="0.35">
      <c r="A131" s="292" t="s">
        <v>58</v>
      </c>
      <c r="B131" s="292"/>
      <c r="C131" s="292"/>
      <c r="D131" s="292"/>
      <c r="E131" s="292"/>
      <c r="F131" s="292"/>
      <c r="G131" s="304">
        <f>SUM(G127:J130)</f>
        <v>145.31603083333334</v>
      </c>
      <c r="H131" s="304"/>
      <c r="I131" s="304"/>
      <c r="J131" s="304"/>
    </row>
    <row r="132" spans="1:10" x14ac:dyDescent="0.35">
      <c r="A132" s="17"/>
      <c r="B132" s="323"/>
      <c r="C132" s="323"/>
      <c r="D132" s="323"/>
      <c r="E132" s="323"/>
      <c r="F132" s="323"/>
      <c r="G132" s="323"/>
      <c r="H132" s="323"/>
      <c r="I132" s="323"/>
      <c r="J132" s="323"/>
    </row>
    <row r="133" spans="1:10" x14ac:dyDescent="0.35">
      <c r="A133" s="324" t="s">
        <v>107</v>
      </c>
      <c r="B133" s="324"/>
      <c r="C133" s="324"/>
      <c r="D133" s="324"/>
      <c r="E133" s="324"/>
      <c r="F133" s="324"/>
      <c r="G133" s="324"/>
      <c r="H133" s="324"/>
      <c r="I133" s="324"/>
      <c r="J133" s="324"/>
    </row>
    <row r="134" spans="1:10" x14ac:dyDescent="0.35">
      <c r="A134" s="319" t="s">
        <v>108</v>
      </c>
      <c r="B134" s="319"/>
      <c r="C134" s="319"/>
      <c r="D134" s="319"/>
      <c r="E134" s="319"/>
      <c r="F134" s="319"/>
      <c r="G134" s="320">
        <f>G35+G78+I91+G122+G131</f>
        <v>8500.3658901863382</v>
      </c>
      <c r="H134" s="321"/>
      <c r="I134" s="321"/>
      <c r="J134" s="321"/>
    </row>
    <row r="135" spans="1:10" x14ac:dyDescent="0.35">
      <c r="A135" s="319" t="s">
        <v>109</v>
      </c>
      <c r="B135" s="319"/>
      <c r="C135" s="319"/>
      <c r="D135" s="319"/>
      <c r="E135" s="319"/>
      <c r="F135" s="319"/>
      <c r="G135" s="320">
        <f>G134+I138</f>
        <v>8831.0301233145874</v>
      </c>
      <c r="H135" s="321"/>
      <c r="I135" s="321"/>
      <c r="J135" s="321"/>
    </row>
    <row r="136" spans="1:10" x14ac:dyDescent="0.35">
      <c r="A136" s="319" t="s">
        <v>110</v>
      </c>
      <c r="B136" s="319"/>
      <c r="C136" s="319"/>
      <c r="D136" s="319"/>
      <c r="E136" s="319"/>
      <c r="F136" s="319"/>
      <c r="G136" s="322">
        <f>(G135+I139)/(1-G140)</f>
        <v>10067.471013048507</v>
      </c>
      <c r="H136" s="322"/>
      <c r="I136" s="322"/>
      <c r="J136" s="322"/>
    </row>
    <row r="137" spans="1:10" x14ac:dyDescent="0.35">
      <c r="A137" s="9">
        <v>6</v>
      </c>
      <c r="B137" s="317" t="s">
        <v>111</v>
      </c>
      <c r="C137" s="317"/>
      <c r="D137" s="317"/>
      <c r="E137" s="317"/>
      <c r="F137" s="317"/>
      <c r="G137" s="318" t="s">
        <v>39</v>
      </c>
      <c r="H137" s="318"/>
      <c r="I137" s="318" t="s">
        <v>29</v>
      </c>
      <c r="J137" s="318"/>
    </row>
    <row r="138" spans="1:10" x14ac:dyDescent="0.35">
      <c r="A138" s="10" t="s">
        <v>3</v>
      </c>
      <c r="B138" s="293" t="s">
        <v>112</v>
      </c>
      <c r="C138" s="293"/>
      <c r="D138" s="293"/>
      <c r="E138" s="293"/>
      <c r="F138" s="293"/>
      <c r="G138" s="313">
        <v>3.8899999999999997E-2</v>
      </c>
      <c r="H138" s="313"/>
      <c r="I138" s="312">
        <f>G134*G138</f>
        <v>330.66423312824855</v>
      </c>
      <c r="J138" s="293"/>
    </row>
    <row r="139" spans="1:10" x14ac:dyDescent="0.35">
      <c r="A139" s="10" t="s">
        <v>5</v>
      </c>
      <c r="B139" s="293" t="s">
        <v>113</v>
      </c>
      <c r="C139" s="293"/>
      <c r="D139" s="293"/>
      <c r="E139" s="293"/>
      <c r="F139" s="293"/>
      <c r="G139" s="313">
        <v>4.1399999999999999E-2</v>
      </c>
      <c r="H139" s="313"/>
      <c r="I139" s="312">
        <f>G135*G139</f>
        <v>365.60464710522393</v>
      </c>
      <c r="J139" s="293"/>
    </row>
    <row r="140" spans="1:10" x14ac:dyDescent="0.35">
      <c r="A140" s="10" t="s">
        <v>7</v>
      </c>
      <c r="B140" s="293" t="s">
        <v>114</v>
      </c>
      <c r="C140" s="293"/>
      <c r="D140" s="293"/>
      <c r="E140" s="293"/>
      <c r="F140" s="293"/>
      <c r="G140" s="314">
        <f>SUM(G141:H144)</f>
        <v>8.6499999999999994E-2</v>
      </c>
      <c r="H140" s="314"/>
      <c r="I140" s="315">
        <f>G136*G140</f>
        <v>870.8362426286958</v>
      </c>
      <c r="J140" s="316"/>
    </row>
    <row r="141" spans="1:10" x14ac:dyDescent="0.35">
      <c r="A141" s="18" t="s">
        <v>115</v>
      </c>
      <c r="B141" s="310" t="s">
        <v>371</v>
      </c>
      <c r="C141" s="310"/>
      <c r="D141" s="310"/>
      <c r="E141" s="310"/>
      <c r="F141" s="310"/>
      <c r="G141" s="447">
        <f>Eletrotécnico!G143</f>
        <v>0.03</v>
      </c>
      <c r="H141" s="447"/>
      <c r="I141" s="309">
        <f>G136*G141</f>
        <v>302.02413039145523</v>
      </c>
      <c r="J141" s="310"/>
    </row>
    <row r="142" spans="1:10" x14ac:dyDescent="0.35">
      <c r="A142" s="18" t="s">
        <v>116</v>
      </c>
      <c r="B142" s="310" t="s">
        <v>372</v>
      </c>
      <c r="C142" s="310"/>
      <c r="D142" s="310"/>
      <c r="E142" s="310"/>
      <c r="F142" s="310"/>
      <c r="G142" s="447">
        <f>Eletrotécnico!G144</f>
        <v>6.4999999999999997E-3</v>
      </c>
      <c r="H142" s="447"/>
      <c r="I142" s="309">
        <f>G136*G142</f>
        <v>65.43856158481529</v>
      </c>
      <c r="J142" s="310"/>
    </row>
    <row r="143" spans="1:10" x14ac:dyDescent="0.35">
      <c r="A143" s="18" t="s">
        <v>117</v>
      </c>
      <c r="B143" s="310" t="s">
        <v>118</v>
      </c>
      <c r="C143" s="310"/>
      <c r="D143" s="310"/>
      <c r="E143" s="310"/>
      <c r="F143" s="310"/>
      <c r="G143" s="447">
        <f>Eletrotécnico!G145</f>
        <v>0.05</v>
      </c>
      <c r="H143" s="447"/>
      <c r="I143" s="309">
        <f>G135*G143</f>
        <v>441.55150616572939</v>
      </c>
      <c r="J143" s="310"/>
    </row>
    <row r="144" spans="1:10" ht="14.5" customHeight="1" x14ac:dyDescent="0.35">
      <c r="A144" s="18" t="s">
        <v>165</v>
      </c>
      <c r="B144" s="310" t="s">
        <v>164</v>
      </c>
      <c r="C144" s="310"/>
      <c r="D144" s="310"/>
      <c r="E144" s="310"/>
      <c r="F144" s="310"/>
      <c r="G144" s="447">
        <f>Eletrotécnico!G146</f>
        <v>0</v>
      </c>
      <c r="H144" s="447"/>
      <c r="I144" s="309">
        <f>G136*G144</f>
        <v>0</v>
      </c>
      <c r="J144" s="310"/>
    </row>
    <row r="145" spans="1:10" x14ac:dyDescent="0.35">
      <c r="A145" s="292" t="s">
        <v>58</v>
      </c>
      <c r="B145" s="292"/>
      <c r="C145" s="292"/>
      <c r="D145" s="292"/>
      <c r="E145" s="292"/>
      <c r="F145" s="292"/>
      <c r="G145" s="311"/>
      <c r="H145" s="311"/>
      <c r="I145" s="312">
        <f>SUM(I138:J140)</f>
        <v>1567.1051228621682</v>
      </c>
      <c r="J145" s="293"/>
    </row>
    <row r="146" spans="1:10" x14ac:dyDescent="0.35">
      <c r="A146" s="19"/>
      <c r="B146" s="295"/>
      <c r="C146" s="295"/>
      <c r="D146" s="295"/>
      <c r="E146" s="295"/>
      <c r="F146" s="295"/>
      <c r="G146" s="295"/>
      <c r="H146" s="295"/>
      <c r="I146" s="295"/>
      <c r="J146" s="295"/>
    </row>
    <row r="147" spans="1:10" x14ac:dyDescent="0.35">
      <c r="A147" s="296" t="s">
        <v>119</v>
      </c>
      <c r="B147" s="296"/>
      <c r="C147" s="296"/>
      <c r="D147" s="296"/>
      <c r="E147" s="296"/>
      <c r="F147" s="296"/>
      <c r="G147" s="296"/>
      <c r="H147" s="296"/>
      <c r="I147" s="296"/>
      <c r="J147" s="296"/>
    </row>
    <row r="148" spans="1:10" x14ac:dyDescent="0.35">
      <c r="A148" s="20"/>
      <c r="B148" s="297"/>
      <c r="C148" s="297"/>
      <c r="D148" s="297"/>
      <c r="E148" s="297"/>
      <c r="F148" s="297"/>
      <c r="G148" s="297"/>
      <c r="H148" s="297"/>
      <c r="I148" s="297"/>
      <c r="J148" s="297"/>
    </row>
    <row r="149" spans="1:10" x14ac:dyDescent="0.35">
      <c r="A149" s="9"/>
      <c r="B149" s="292" t="s">
        <v>120</v>
      </c>
      <c r="C149" s="292"/>
      <c r="D149" s="292"/>
      <c r="E149" s="292"/>
      <c r="F149" s="292"/>
      <c r="G149" s="292" t="s">
        <v>29</v>
      </c>
      <c r="H149" s="292"/>
      <c r="I149" s="292"/>
      <c r="J149" s="292"/>
    </row>
    <row r="150" spans="1:10" x14ac:dyDescent="0.35">
      <c r="A150" s="9" t="s">
        <v>3</v>
      </c>
      <c r="B150" s="293" t="s">
        <v>27</v>
      </c>
      <c r="C150" s="293"/>
      <c r="D150" s="293"/>
      <c r="E150" s="293"/>
      <c r="F150" s="293"/>
      <c r="G150" s="294">
        <f>G35</f>
        <v>4356.2479999999996</v>
      </c>
      <c r="H150" s="294"/>
      <c r="I150" s="294"/>
      <c r="J150" s="294"/>
    </row>
    <row r="151" spans="1:10" x14ac:dyDescent="0.35">
      <c r="A151" s="9" t="s">
        <v>5</v>
      </c>
      <c r="B151" s="293" t="s">
        <v>34</v>
      </c>
      <c r="C151" s="293"/>
      <c r="D151" s="293"/>
      <c r="E151" s="293"/>
      <c r="F151" s="293"/>
      <c r="G151" s="294">
        <f>G78</f>
        <v>3037.5693441304002</v>
      </c>
      <c r="H151" s="294"/>
      <c r="I151" s="294"/>
      <c r="J151" s="294"/>
    </row>
    <row r="152" spans="1:10" x14ac:dyDescent="0.35">
      <c r="A152" s="9" t="s">
        <v>7</v>
      </c>
      <c r="B152" s="293" t="s">
        <v>71</v>
      </c>
      <c r="C152" s="293"/>
      <c r="D152" s="293"/>
      <c r="E152" s="293"/>
      <c r="F152" s="293"/>
      <c r="G152" s="294">
        <f>I91</f>
        <v>234.68076031111113</v>
      </c>
      <c r="H152" s="294"/>
      <c r="I152" s="294"/>
      <c r="J152" s="294"/>
    </row>
    <row r="153" spans="1:10" x14ac:dyDescent="0.35">
      <c r="A153" s="9" t="s">
        <v>9</v>
      </c>
      <c r="B153" s="293" t="s">
        <v>80</v>
      </c>
      <c r="C153" s="293"/>
      <c r="D153" s="293"/>
      <c r="E153" s="293"/>
      <c r="F153" s="293"/>
      <c r="G153" s="294">
        <f>G122</f>
        <v>726.55175491149328</v>
      </c>
      <c r="H153" s="294"/>
      <c r="I153" s="294"/>
      <c r="J153" s="294"/>
    </row>
    <row r="154" spans="1:10" x14ac:dyDescent="0.35">
      <c r="A154" s="9" t="s">
        <v>50</v>
      </c>
      <c r="B154" s="293" t="s">
        <v>104</v>
      </c>
      <c r="C154" s="293"/>
      <c r="D154" s="293"/>
      <c r="E154" s="293"/>
      <c r="F154" s="293"/>
      <c r="G154" s="294">
        <f>G131</f>
        <v>145.31603083333334</v>
      </c>
      <c r="H154" s="294"/>
      <c r="I154" s="294"/>
      <c r="J154" s="294"/>
    </row>
    <row r="155" spans="1:10" x14ac:dyDescent="0.35">
      <c r="A155" s="292" t="s">
        <v>121</v>
      </c>
      <c r="B155" s="292"/>
      <c r="C155" s="292"/>
      <c r="D155" s="292"/>
      <c r="E155" s="292"/>
      <c r="F155" s="292"/>
      <c r="G155" s="304">
        <f>SUM(G150:J154)</f>
        <v>8500.3658901863382</v>
      </c>
      <c r="H155" s="304"/>
      <c r="I155" s="304"/>
      <c r="J155" s="304"/>
    </row>
    <row r="156" spans="1:10" x14ac:dyDescent="0.35">
      <c r="A156" s="9" t="s">
        <v>52</v>
      </c>
      <c r="B156" s="293" t="s">
        <v>122</v>
      </c>
      <c r="C156" s="293"/>
      <c r="D156" s="293"/>
      <c r="E156" s="293"/>
      <c r="F156" s="293"/>
      <c r="G156" s="294">
        <f>I145</f>
        <v>1567.1051228621682</v>
      </c>
      <c r="H156" s="294"/>
      <c r="I156" s="294"/>
      <c r="J156" s="294"/>
    </row>
    <row r="157" spans="1:10" x14ac:dyDescent="0.35">
      <c r="A157" s="292" t="s">
        <v>123</v>
      </c>
      <c r="B157" s="292"/>
      <c r="C157" s="292"/>
      <c r="D157" s="292"/>
      <c r="E157" s="292"/>
      <c r="F157" s="292"/>
      <c r="G157" s="304">
        <f>SUM(G155:J156)</f>
        <v>10067.471013048507</v>
      </c>
      <c r="H157" s="304"/>
      <c r="I157" s="304"/>
      <c r="J157" s="304"/>
    </row>
    <row r="158" spans="1:10" x14ac:dyDescent="0.35">
      <c r="A158" s="298" t="s">
        <v>152</v>
      </c>
      <c r="B158" s="299"/>
      <c r="C158" s="299"/>
      <c r="D158" s="299"/>
      <c r="E158" s="299"/>
      <c r="F158" s="300"/>
      <c r="G158" s="305">
        <v>2</v>
      </c>
      <c r="H158" s="306"/>
      <c r="I158" s="306"/>
      <c r="J158" s="307"/>
    </row>
    <row r="159" spans="1:10" ht="14.5" customHeight="1" x14ac:dyDescent="0.35">
      <c r="A159" s="298" t="s">
        <v>151</v>
      </c>
      <c r="B159" s="299"/>
      <c r="C159" s="299"/>
      <c r="D159" s="299"/>
      <c r="E159" s="299"/>
      <c r="F159" s="300"/>
      <c r="G159" s="301">
        <f>G157*G158</f>
        <v>20134.942026097015</v>
      </c>
      <c r="H159" s="302"/>
      <c r="I159" s="302"/>
      <c r="J159" s="303"/>
    </row>
    <row r="165" spans="10:10" x14ac:dyDescent="0.35">
      <c r="J165" s="21"/>
    </row>
  </sheetData>
  <sheetProtection algorithmName="SHA-512" hashValue="i+x9+9dRLUmeZQiqjAZnEah0jys7A90Wf4KsvqaJVNcvHR1wzgbkGeJ5BTNWPapqCob4g//po5nyRLXCFY6dhQ==" saltValue="TdzEHHzUzkLkIzFIEWue4Q==" spinCount="100000" sheet="1" objects="1" scenarios="1"/>
  <mergeCells count="334">
    <mergeCell ref="A8:J8"/>
    <mergeCell ref="A9:J9"/>
    <mergeCell ref="A10:J10"/>
    <mergeCell ref="B11:F11"/>
    <mergeCell ref="G11:J11"/>
    <mergeCell ref="A1:J1"/>
    <mergeCell ref="A2:J2"/>
    <mergeCell ref="B3:F3"/>
    <mergeCell ref="G3:H3"/>
    <mergeCell ref="I3:J3"/>
    <mergeCell ref="A4:C4"/>
    <mergeCell ref="D4:J4"/>
    <mergeCell ref="A5:C5"/>
    <mergeCell ref="D5:J5"/>
    <mergeCell ref="A6:C6"/>
    <mergeCell ref="D6:J6"/>
    <mergeCell ref="A7:C7"/>
    <mergeCell ref="D7:J7"/>
    <mergeCell ref="A15:J15"/>
    <mergeCell ref="A16:J16"/>
    <mergeCell ref="A17:J17"/>
    <mergeCell ref="A18:C18"/>
    <mergeCell ref="D18:E18"/>
    <mergeCell ref="F18:J18"/>
    <mergeCell ref="B12:F12"/>
    <mergeCell ref="G12:J12"/>
    <mergeCell ref="B13:F13"/>
    <mergeCell ref="G13:J13"/>
    <mergeCell ref="B14:F14"/>
    <mergeCell ref="G14:J14"/>
    <mergeCell ref="B23:F23"/>
    <mergeCell ref="G23:J23"/>
    <mergeCell ref="B24:F24"/>
    <mergeCell ref="G24:J24"/>
    <mergeCell ref="B25:F25"/>
    <mergeCell ref="G25:J25"/>
    <mergeCell ref="A19:C19"/>
    <mergeCell ref="D19:E19"/>
    <mergeCell ref="F19:J19"/>
    <mergeCell ref="A20:J20"/>
    <mergeCell ref="A21:J21"/>
    <mergeCell ref="A22:J22"/>
    <mergeCell ref="B31:F31"/>
    <mergeCell ref="G31:J31"/>
    <mergeCell ref="B32:F32"/>
    <mergeCell ref="G32:J32"/>
    <mergeCell ref="B33:F33"/>
    <mergeCell ref="G33:J33"/>
    <mergeCell ref="B26:F26"/>
    <mergeCell ref="G26:J26"/>
    <mergeCell ref="B27:F27"/>
    <mergeCell ref="G27:J27"/>
    <mergeCell ref="A28:J28"/>
    <mergeCell ref="A29:J29"/>
    <mergeCell ref="A30:J30"/>
    <mergeCell ref="A39:J39"/>
    <mergeCell ref="A40:F40"/>
    <mergeCell ref="G40:J40"/>
    <mergeCell ref="A41:J41"/>
    <mergeCell ref="A37:J37"/>
    <mergeCell ref="B34:F34"/>
    <mergeCell ref="G34:J34"/>
    <mergeCell ref="A35:F35"/>
    <mergeCell ref="G35:J35"/>
    <mergeCell ref="A38:J38"/>
    <mergeCell ref="A36:J36"/>
    <mergeCell ref="B44:F44"/>
    <mergeCell ref="G44:H44"/>
    <mergeCell ref="I44:J44"/>
    <mergeCell ref="A45:F45"/>
    <mergeCell ref="G45:H45"/>
    <mergeCell ref="I45:J45"/>
    <mergeCell ref="B42:F42"/>
    <mergeCell ref="G42:H42"/>
    <mergeCell ref="I42:J42"/>
    <mergeCell ref="B43:F43"/>
    <mergeCell ref="G43:H43"/>
    <mergeCell ref="I43:J43"/>
    <mergeCell ref="B51:F51"/>
    <mergeCell ref="G51:H51"/>
    <mergeCell ref="I51:J51"/>
    <mergeCell ref="B52:F52"/>
    <mergeCell ref="G52:H52"/>
    <mergeCell ref="I52:J52"/>
    <mergeCell ref="A46:J46"/>
    <mergeCell ref="A47:J47"/>
    <mergeCell ref="A48:F48"/>
    <mergeCell ref="G48:J48"/>
    <mergeCell ref="A49:J49"/>
    <mergeCell ref="B50:F50"/>
    <mergeCell ref="G50:H50"/>
    <mergeCell ref="I50:J50"/>
    <mergeCell ref="B55:F55"/>
    <mergeCell ref="G55:H55"/>
    <mergeCell ref="I55:J55"/>
    <mergeCell ref="B56:F56"/>
    <mergeCell ref="G56:H56"/>
    <mergeCell ref="I56:J56"/>
    <mergeCell ref="B53:F53"/>
    <mergeCell ref="G53:H53"/>
    <mergeCell ref="I53:J53"/>
    <mergeCell ref="B54:F54"/>
    <mergeCell ref="G54:H54"/>
    <mergeCell ref="I54:J54"/>
    <mergeCell ref="A59:F59"/>
    <mergeCell ref="G59:H59"/>
    <mergeCell ref="I59:J59"/>
    <mergeCell ref="A60:J60"/>
    <mergeCell ref="A61:J61"/>
    <mergeCell ref="A62:J62"/>
    <mergeCell ref="B57:F57"/>
    <mergeCell ref="G57:H57"/>
    <mergeCell ref="I57:J57"/>
    <mergeCell ref="B58:F58"/>
    <mergeCell ref="G58:H58"/>
    <mergeCell ref="I58:J58"/>
    <mergeCell ref="B65:F65"/>
    <mergeCell ref="G65:H65"/>
    <mergeCell ref="I65:J65"/>
    <mergeCell ref="B66:F66"/>
    <mergeCell ref="G66:H66"/>
    <mergeCell ref="I66:J66"/>
    <mergeCell ref="B63:F63"/>
    <mergeCell ref="G63:H63"/>
    <mergeCell ref="I63:J63"/>
    <mergeCell ref="B64:F64"/>
    <mergeCell ref="G64:H64"/>
    <mergeCell ref="I64:J64"/>
    <mergeCell ref="B69:F69"/>
    <mergeCell ref="G69:H69"/>
    <mergeCell ref="I69:J69"/>
    <mergeCell ref="B68:F68"/>
    <mergeCell ref="G68:H68"/>
    <mergeCell ref="I68:J68"/>
    <mergeCell ref="B67:F67"/>
    <mergeCell ref="G67:H67"/>
    <mergeCell ref="I67:J67"/>
    <mergeCell ref="B75:F75"/>
    <mergeCell ref="G75:J75"/>
    <mergeCell ref="B76:F76"/>
    <mergeCell ref="G76:J76"/>
    <mergeCell ref="B77:F77"/>
    <mergeCell ref="G77:J77"/>
    <mergeCell ref="A70:H70"/>
    <mergeCell ref="I70:J70"/>
    <mergeCell ref="A71:J71"/>
    <mergeCell ref="A72:J72"/>
    <mergeCell ref="A73:J73"/>
    <mergeCell ref="B74:F74"/>
    <mergeCell ref="G74:J74"/>
    <mergeCell ref="B84:F84"/>
    <mergeCell ref="G84:H84"/>
    <mergeCell ref="I84:J84"/>
    <mergeCell ref="B85:F85"/>
    <mergeCell ref="I85:J85"/>
    <mergeCell ref="A78:F78"/>
    <mergeCell ref="G78:J78"/>
    <mergeCell ref="A79:J79"/>
    <mergeCell ref="A80:J80"/>
    <mergeCell ref="A81:J81"/>
    <mergeCell ref="A82:F82"/>
    <mergeCell ref="G82:J82"/>
    <mergeCell ref="A83:J83"/>
    <mergeCell ref="B89:F89"/>
    <mergeCell ref="G89:H89"/>
    <mergeCell ref="I89:J89"/>
    <mergeCell ref="B90:F90"/>
    <mergeCell ref="G90:H90"/>
    <mergeCell ref="I90:J90"/>
    <mergeCell ref="B86:F86"/>
    <mergeCell ref="G86:H86"/>
    <mergeCell ref="I86:J86"/>
    <mergeCell ref="B87:F87"/>
    <mergeCell ref="I87:J87"/>
    <mergeCell ref="B88:F88"/>
    <mergeCell ref="G88:H88"/>
    <mergeCell ref="I88:J88"/>
    <mergeCell ref="A95:J95"/>
    <mergeCell ref="A96:F96"/>
    <mergeCell ref="G96:J96"/>
    <mergeCell ref="B98:F98"/>
    <mergeCell ref="G98:H98"/>
    <mergeCell ref="I98:J98"/>
    <mergeCell ref="A91:F91"/>
    <mergeCell ref="G91:H91"/>
    <mergeCell ref="I91:J91"/>
    <mergeCell ref="A92:J92"/>
    <mergeCell ref="A93:J93"/>
    <mergeCell ref="A94:J94"/>
    <mergeCell ref="A97:J97"/>
    <mergeCell ref="B101:F101"/>
    <mergeCell ref="G101:H101"/>
    <mergeCell ref="I101:J101"/>
    <mergeCell ref="B102:F102"/>
    <mergeCell ref="G102:H102"/>
    <mergeCell ref="I102:J102"/>
    <mergeCell ref="B99:F99"/>
    <mergeCell ref="G99:H99"/>
    <mergeCell ref="I99:J99"/>
    <mergeCell ref="B100:F100"/>
    <mergeCell ref="G100:H100"/>
    <mergeCell ref="I100:J100"/>
    <mergeCell ref="A105:F105"/>
    <mergeCell ref="G105:H105"/>
    <mergeCell ref="I105:J105"/>
    <mergeCell ref="B106:F106"/>
    <mergeCell ref="G106:H106"/>
    <mergeCell ref="I106:J106"/>
    <mergeCell ref="B103:F103"/>
    <mergeCell ref="G103:H103"/>
    <mergeCell ref="I103:J103"/>
    <mergeCell ref="B104:F104"/>
    <mergeCell ref="G104:H104"/>
    <mergeCell ref="I104:J104"/>
    <mergeCell ref="A109:F109"/>
    <mergeCell ref="G109:H109"/>
    <mergeCell ref="I109:J109"/>
    <mergeCell ref="B110:F110"/>
    <mergeCell ref="G110:H110"/>
    <mergeCell ref="I110:J110"/>
    <mergeCell ref="A107:F107"/>
    <mergeCell ref="G107:H107"/>
    <mergeCell ref="I107:J107"/>
    <mergeCell ref="B108:F108"/>
    <mergeCell ref="G108:H108"/>
    <mergeCell ref="I108:J108"/>
    <mergeCell ref="A115:F115"/>
    <mergeCell ref="G115:J115"/>
    <mergeCell ref="B116:F116"/>
    <mergeCell ref="G116:H116"/>
    <mergeCell ref="I116:J116"/>
    <mergeCell ref="A117:J117"/>
    <mergeCell ref="A111:J111"/>
    <mergeCell ref="A112:F112"/>
    <mergeCell ref="G112:J112"/>
    <mergeCell ref="B113:F113"/>
    <mergeCell ref="G113:J113"/>
    <mergeCell ref="B114:F114"/>
    <mergeCell ref="G114:J114"/>
    <mergeCell ref="B121:F121"/>
    <mergeCell ref="G121:J121"/>
    <mergeCell ref="A122:F122"/>
    <mergeCell ref="G122:J122"/>
    <mergeCell ref="B123:F123"/>
    <mergeCell ref="G123:H123"/>
    <mergeCell ref="I123:J123"/>
    <mergeCell ref="B118:F118"/>
    <mergeCell ref="G118:J118"/>
    <mergeCell ref="B119:F119"/>
    <mergeCell ref="G119:J119"/>
    <mergeCell ref="B120:F120"/>
    <mergeCell ref="G120:J120"/>
    <mergeCell ref="B126:F126"/>
    <mergeCell ref="G126:J126"/>
    <mergeCell ref="B129:F129"/>
    <mergeCell ref="G129:J129"/>
    <mergeCell ref="A124:J124"/>
    <mergeCell ref="B125:F125"/>
    <mergeCell ref="G125:H125"/>
    <mergeCell ref="I125:J125"/>
    <mergeCell ref="B130:F130"/>
    <mergeCell ref="G130:J130"/>
    <mergeCell ref="B127:F127"/>
    <mergeCell ref="G127:J127"/>
    <mergeCell ref="B128:F128"/>
    <mergeCell ref="G128:J128"/>
    <mergeCell ref="A134:F134"/>
    <mergeCell ref="G134:J134"/>
    <mergeCell ref="A135:F135"/>
    <mergeCell ref="G135:J135"/>
    <mergeCell ref="A136:F136"/>
    <mergeCell ref="G136:J136"/>
    <mergeCell ref="A131:F131"/>
    <mergeCell ref="G131:J131"/>
    <mergeCell ref="B132:F132"/>
    <mergeCell ref="G132:H132"/>
    <mergeCell ref="I132:J132"/>
    <mergeCell ref="A133:J133"/>
    <mergeCell ref="B139:F139"/>
    <mergeCell ref="G139:H139"/>
    <mergeCell ref="I139:J139"/>
    <mergeCell ref="B140:F140"/>
    <mergeCell ref="G140:H140"/>
    <mergeCell ref="I140:J140"/>
    <mergeCell ref="B137:F137"/>
    <mergeCell ref="G137:H137"/>
    <mergeCell ref="I137:J137"/>
    <mergeCell ref="B138:F138"/>
    <mergeCell ref="G138:H138"/>
    <mergeCell ref="I138:J138"/>
    <mergeCell ref="B144:F144"/>
    <mergeCell ref="G144:H144"/>
    <mergeCell ref="I144:J144"/>
    <mergeCell ref="A145:F145"/>
    <mergeCell ref="G145:H145"/>
    <mergeCell ref="I145:J145"/>
    <mergeCell ref="B141:F141"/>
    <mergeCell ref="G141:H141"/>
    <mergeCell ref="I141:J141"/>
    <mergeCell ref="B142:F142"/>
    <mergeCell ref="G142:H142"/>
    <mergeCell ref="I142:J142"/>
    <mergeCell ref="B143:F143"/>
    <mergeCell ref="G143:H143"/>
    <mergeCell ref="I143:J143"/>
    <mergeCell ref="B149:F149"/>
    <mergeCell ref="G149:J149"/>
    <mergeCell ref="B150:F150"/>
    <mergeCell ref="G150:J150"/>
    <mergeCell ref="B151:F151"/>
    <mergeCell ref="G151:J151"/>
    <mergeCell ref="B146:F146"/>
    <mergeCell ref="G146:H146"/>
    <mergeCell ref="I146:J146"/>
    <mergeCell ref="A147:J147"/>
    <mergeCell ref="B148:F148"/>
    <mergeCell ref="G148:H148"/>
    <mergeCell ref="I148:J148"/>
    <mergeCell ref="A159:F159"/>
    <mergeCell ref="G159:J159"/>
    <mergeCell ref="A155:F155"/>
    <mergeCell ref="G155:J155"/>
    <mergeCell ref="B156:F156"/>
    <mergeCell ref="G156:J156"/>
    <mergeCell ref="A157:F157"/>
    <mergeCell ref="G157:J157"/>
    <mergeCell ref="B152:F152"/>
    <mergeCell ref="G152:J152"/>
    <mergeCell ref="B153:F153"/>
    <mergeCell ref="G153:J153"/>
    <mergeCell ref="B154:F154"/>
    <mergeCell ref="G154:J154"/>
    <mergeCell ref="A158:F158"/>
    <mergeCell ref="G158:J158"/>
  </mergeCells>
  <conditionalFormatting sqref="G157:J157">
    <cfRule type="cellIs" dxfId="527" priority="1" operator="greaterThan">
      <formula>10067.48</formula>
    </cfRule>
  </conditionalFormatting>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1FB2A-32CE-4319-8615-4E1BCBD7A189}">
  <sheetPr>
    <tabColor theme="3" tint="0.59999389629810485"/>
  </sheetPr>
  <dimension ref="A1:L165"/>
  <sheetViews>
    <sheetView zoomScale="90" zoomScaleNormal="90" workbookViewId="0">
      <selection activeCell="G156" sqref="G156:J156"/>
    </sheetView>
  </sheetViews>
  <sheetFormatPr defaultColWidth="8.7265625" defaultRowHeight="14.5" x14ac:dyDescent="0.35"/>
  <cols>
    <col min="1" max="1" width="8.7265625" style="1"/>
    <col min="2" max="2" width="13.26953125" style="1" customWidth="1"/>
    <col min="3" max="3" width="13.453125" style="1" customWidth="1"/>
    <col min="4" max="4" width="12.54296875" style="1" customWidth="1"/>
    <col min="5" max="5" width="13.453125" style="1" customWidth="1"/>
    <col min="6" max="6" width="12.81640625" style="1" customWidth="1"/>
    <col min="7" max="7" width="8.7265625" style="1"/>
    <col min="8" max="8" width="11.54296875" style="1" bestFit="1" customWidth="1"/>
    <col min="9" max="9" width="13" style="1" bestFit="1" customWidth="1"/>
    <col min="10" max="10" width="9.81640625" style="1" bestFit="1" customWidth="1"/>
    <col min="11" max="11" width="8.7265625" style="1"/>
    <col min="12" max="12" width="10.453125" style="1" bestFit="1" customWidth="1"/>
    <col min="13" max="16384" width="8.7265625" style="1"/>
  </cols>
  <sheetData>
    <row r="1" spans="1:10" x14ac:dyDescent="0.35">
      <c r="A1" s="375" t="s">
        <v>0</v>
      </c>
      <c r="B1" s="375"/>
      <c r="C1" s="375"/>
      <c r="D1" s="375"/>
      <c r="E1" s="375"/>
      <c r="F1" s="375"/>
      <c r="G1" s="375"/>
      <c r="H1" s="375"/>
      <c r="I1" s="375"/>
      <c r="J1" s="375"/>
    </row>
    <row r="2" spans="1:10" x14ac:dyDescent="0.35">
      <c r="A2" s="375" t="s">
        <v>1</v>
      </c>
      <c r="B2" s="375"/>
      <c r="C2" s="375"/>
      <c r="D2" s="375"/>
      <c r="E2" s="375"/>
      <c r="F2" s="375"/>
      <c r="G2" s="375"/>
      <c r="H2" s="375"/>
      <c r="I2" s="375"/>
      <c r="J2" s="375"/>
    </row>
    <row r="3" spans="1:10" x14ac:dyDescent="0.35">
      <c r="A3" s="2"/>
      <c r="B3" s="342"/>
      <c r="C3" s="342"/>
      <c r="D3" s="342"/>
      <c r="E3" s="342"/>
      <c r="F3" s="342"/>
      <c r="G3" s="342"/>
      <c r="H3" s="342"/>
      <c r="I3" s="342"/>
      <c r="J3" s="342"/>
    </row>
    <row r="4" spans="1:10" x14ac:dyDescent="0.35">
      <c r="A4" s="440" t="s">
        <v>124</v>
      </c>
      <c r="B4" s="440"/>
      <c r="C4" s="440"/>
      <c r="D4" s="441" t="s">
        <v>171</v>
      </c>
      <c r="E4" s="441"/>
      <c r="F4" s="441"/>
      <c r="G4" s="441"/>
      <c r="H4" s="441"/>
      <c r="I4" s="441"/>
      <c r="J4" s="441"/>
    </row>
    <row r="5" spans="1:10" x14ac:dyDescent="0.35">
      <c r="A5" s="440" t="s">
        <v>168</v>
      </c>
      <c r="B5" s="442"/>
      <c r="C5" s="442"/>
      <c r="D5" s="441" t="s">
        <v>903</v>
      </c>
      <c r="E5" s="441"/>
      <c r="F5" s="441"/>
      <c r="G5" s="441"/>
      <c r="H5" s="441"/>
      <c r="I5" s="441"/>
      <c r="J5" s="441"/>
    </row>
    <row r="6" spans="1:10" x14ac:dyDescent="0.35">
      <c r="A6" s="440" t="s">
        <v>169</v>
      </c>
      <c r="B6" s="440"/>
      <c r="C6" s="440"/>
      <c r="D6" s="441">
        <f>Eletrotécnico!D6</f>
        <v>0</v>
      </c>
      <c r="E6" s="441"/>
      <c r="F6" s="441"/>
      <c r="G6" s="441"/>
      <c r="H6" s="441"/>
      <c r="I6" s="441"/>
      <c r="J6" s="441"/>
    </row>
    <row r="7" spans="1:10" x14ac:dyDescent="0.35">
      <c r="A7" s="440" t="s">
        <v>170</v>
      </c>
      <c r="B7" s="440"/>
      <c r="C7" s="440"/>
      <c r="D7" s="441">
        <f>Eletrotécnico!D7</f>
        <v>0</v>
      </c>
      <c r="E7" s="441"/>
      <c r="F7" s="441"/>
      <c r="G7" s="441"/>
      <c r="H7" s="441"/>
      <c r="I7" s="441"/>
      <c r="J7" s="441"/>
    </row>
    <row r="8" spans="1:10" x14ac:dyDescent="0.35">
      <c r="A8" s="376"/>
      <c r="B8" s="376"/>
      <c r="C8" s="376"/>
      <c r="D8" s="376"/>
      <c r="E8" s="376"/>
      <c r="F8" s="376"/>
      <c r="G8" s="376"/>
      <c r="H8" s="376"/>
      <c r="I8" s="376"/>
      <c r="J8" s="376"/>
    </row>
    <row r="9" spans="1:10" x14ac:dyDescent="0.35">
      <c r="A9" s="375" t="s">
        <v>2</v>
      </c>
      <c r="B9" s="375"/>
      <c r="C9" s="375"/>
      <c r="D9" s="375"/>
      <c r="E9" s="375"/>
      <c r="F9" s="375"/>
      <c r="G9" s="375"/>
      <c r="H9" s="375"/>
      <c r="I9" s="375"/>
      <c r="J9" s="375"/>
    </row>
    <row r="10" spans="1:10" x14ac:dyDescent="0.35">
      <c r="A10" s="422"/>
      <c r="B10" s="422"/>
      <c r="C10" s="422"/>
      <c r="D10" s="422"/>
      <c r="E10" s="422"/>
      <c r="F10" s="422"/>
      <c r="G10" s="422"/>
      <c r="H10" s="422"/>
      <c r="I10" s="422"/>
      <c r="J10" s="422"/>
    </row>
    <row r="11" spans="1:10" x14ac:dyDescent="0.35">
      <c r="A11" s="3" t="s">
        <v>3</v>
      </c>
      <c r="B11" s="436" t="s">
        <v>4</v>
      </c>
      <c r="C11" s="436"/>
      <c r="D11" s="436"/>
      <c r="E11" s="436"/>
      <c r="F11" s="436"/>
      <c r="G11" s="332"/>
      <c r="H11" s="332"/>
      <c r="I11" s="332"/>
      <c r="J11" s="332"/>
    </row>
    <row r="12" spans="1:10" x14ac:dyDescent="0.35">
      <c r="A12" s="3" t="s">
        <v>5</v>
      </c>
      <c r="B12" s="436" t="s">
        <v>6</v>
      </c>
      <c r="C12" s="436"/>
      <c r="D12" s="436"/>
      <c r="E12" s="436"/>
      <c r="F12" s="436"/>
      <c r="G12" s="332" t="s">
        <v>125</v>
      </c>
      <c r="H12" s="332"/>
      <c r="I12" s="332"/>
      <c r="J12" s="332"/>
    </row>
    <row r="13" spans="1:10" ht="14.5" customHeight="1" x14ac:dyDescent="0.35">
      <c r="A13" s="3" t="s">
        <v>7</v>
      </c>
      <c r="B13" s="436" t="s">
        <v>8</v>
      </c>
      <c r="C13" s="436"/>
      <c r="D13" s="436"/>
      <c r="E13" s="436"/>
      <c r="F13" s="436"/>
      <c r="G13" s="437" t="s">
        <v>167</v>
      </c>
      <c r="H13" s="438"/>
      <c r="I13" s="438"/>
      <c r="J13" s="439"/>
    </row>
    <row r="14" spans="1:10" x14ac:dyDescent="0.35">
      <c r="A14" s="3" t="s">
        <v>9</v>
      </c>
      <c r="B14" s="436" t="s">
        <v>10</v>
      </c>
      <c r="C14" s="436"/>
      <c r="D14" s="436"/>
      <c r="E14" s="436"/>
      <c r="F14" s="436"/>
      <c r="G14" s="332" t="s">
        <v>11</v>
      </c>
      <c r="H14" s="332"/>
      <c r="I14" s="332"/>
      <c r="J14" s="332"/>
    </row>
    <row r="15" spans="1:10" x14ac:dyDescent="0.35">
      <c r="A15" s="422"/>
      <c r="B15" s="422"/>
      <c r="C15" s="422"/>
      <c r="D15" s="422"/>
      <c r="E15" s="422"/>
      <c r="F15" s="422"/>
      <c r="G15" s="422"/>
      <c r="H15" s="422"/>
      <c r="I15" s="422"/>
      <c r="J15" s="422"/>
    </row>
    <row r="16" spans="1:10" x14ac:dyDescent="0.35">
      <c r="A16" s="375" t="s">
        <v>12</v>
      </c>
      <c r="B16" s="375"/>
      <c r="C16" s="375"/>
      <c r="D16" s="375"/>
      <c r="E16" s="375"/>
      <c r="F16" s="375"/>
      <c r="G16" s="375"/>
      <c r="H16" s="375"/>
      <c r="I16" s="375"/>
      <c r="J16" s="375"/>
    </row>
    <row r="17" spans="1:12" x14ac:dyDescent="0.35">
      <c r="A17" s="422"/>
      <c r="B17" s="422"/>
      <c r="C17" s="422"/>
      <c r="D17" s="422"/>
      <c r="E17" s="422"/>
      <c r="F17" s="422"/>
      <c r="G17" s="422"/>
      <c r="H17" s="422"/>
      <c r="I17" s="422"/>
      <c r="J17" s="422"/>
    </row>
    <row r="18" spans="1:12" x14ac:dyDescent="0.35">
      <c r="A18" s="424" t="s">
        <v>13</v>
      </c>
      <c r="B18" s="424"/>
      <c r="C18" s="424"/>
      <c r="D18" s="332" t="s">
        <v>14</v>
      </c>
      <c r="E18" s="332"/>
      <c r="F18" s="332" t="s">
        <v>15</v>
      </c>
      <c r="G18" s="332"/>
      <c r="H18" s="332"/>
      <c r="I18" s="332"/>
      <c r="J18" s="332"/>
    </row>
    <row r="19" spans="1:12" x14ac:dyDescent="0.35">
      <c r="A19" s="419" t="s">
        <v>153</v>
      </c>
      <c r="B19" s="419"/>
      <c r="C19" s="419"/>
      <c r="D19" s="444" t="s">
        <v>127</v>
      </c>
      <c r="E19" s="445"/>
      <c r="F19" s="446">
        <v>1</v>
      </c>
      <c r="G19" s="446"/>
      <c r="H19" s="446"/>
      <c r="I19" s="446"/>
      <c r="J19" s="446"/>
    </row>
    <row r="20" spans="1:12" x14ac:dyDescent="0.35">
      <c r="A20" s="422"/>
      <c r="B20" s="422"/>
      <c r="C20" s="422"/>
      <c r="D20" s="422"/>
      <c r="E20" s="422"/>
      <c r="F20" s="422"/>
      <c r="G20" s="422"/>
      <c r="H20" s="422"/>
      <c r="I20" s="422"/>
      <c r="J20" s="422"/>
    </row>
    <row r="21" spans="1:12" x14ac:dyDescent="0.35">
      <c r="A21" s="375" t="s">
        <v>16</v>
      </c>
      <c r="B21" s="375"/>
      <c r="C21" s="375"/>
      <c r="D21" s="375"/>
      <c r="E21" s="375"/>
      <c r="F21" s="375"/>
      <c r="G21" s="375"/>
      <c r="H21" s="375"/>
      <c r="I21" s="375"/>
      <c r="J21" s="375"/>
    </row>
    <row r="22" spans="1:12" x14ac:dyDescent="0.35">
      <c r="A22" s="392"/>
      <c r="B22" s="392"/>
      <c r="C22" s="392"/>
      <c r="D22" s="392"/>
      <c r="E22" s="392"/>
      <c r="F22" s="392"/>
      <c r="G22" s="392"/>
      <c r="H22" s="392"/>
      <c r="I22" s="392"/>
      <c r="J22" s="392"/>
    </row>
    <row r="23" spans="1:12" x14ac:dyDescent="0.35">
      <c r="A23" s="4" t="s">
        <v>17</v>
      </c>
      <c r="B23" s="335" t="s">
        <v>18</v>
      </c>
      <c r="C23" s="335"/>
      <c r="D23" s="335"/>
      <c r="E23" s="335"/>
      <c r="F23" s="335"/>
      <c r="G23" s="424" t="s">
        <v>153</v>
      </c>
      <c r="H23" s="424"/>
      <c r="I23" s="424"/>
      <c r="J23" s="424"/>
      <c r="L23" s="22"/>
    </row>
    <row r="24" spans="1:12" x14ac:dyDescent="0.35">
      <c r="A24" s="4" t="s">
        <v>19</v>
      </c>
      <c r="B24" s="335" t="s">
        <v>20</v>
      </c>
      <c r="C24" s="335"/>
      <c r="D24" s="335"/>
      <c r="E24" s="335"/>
      <c r="F24" s="335"/>
      <c r="G24" s="424" t="s">
        <v>154</v>
      </c>
      <c r="H24" s="424"/>
      <c r="I24" s="424"/>
      <c r="J24" s="424"/>
    </row>
    <row r="25" spans="1:12" x14ac:dyDescent="0.35">
      <c r="A25" s="4" t="s">
        <v>21</v>
      </c>
      <c r="B25" s="335" t="s">
        <v>22</v>
      </c>
      <c r="C25" s="335"/>
      <c r="D25" s="335"/>
      <c r="E25" s="335"/>
      <c r="F25" s="335"/>
      <c r="G25" s="426">
        <v>3350.96</v>
      </c>
      <c r="H25" s="426"/>
      <c r="I25" s="426"/>
      <c r="J25" s="426"/>
    </row>
    <row r="26" spans="1:12" x14ac:dyDescent="0.35">
      <c r="A26" s="4" t="s">
        <v>23</v>
      </c>
      <c r="B26" s="335" t="s">
        <v>24</v>
      </c>
      <c r="C26" s="335"/>
      <c r="D26" s="335"/>
      <c r="E26" s="335"/>
      <c r="F26" s="335"/>
      <c r="G26" s="424" t="s">
        <v>128</v>
      </c>
      <c r="H26" s="424"/>
      <c r="I26" s="424"/>
      <c r="J26" s="424"/>
    </row>
    <row r="27" spans="1:12" x14ac:dyDescent="0.35">
      <c r="A27" s="4" t="s">
        <v>25</v>
      </c>
      <c r="B27" s="335" t="s">
        <v>26</v>
      </c>
      <c r="C27" s="335"/>
      <c r="D27" s="335"/>
      <c r="E27" s="335"/>
      <c r="F27" s="335"/>
      <c r="G27" s="425">
        <v>45292</v>
      </c>
      <c r="H27" s="425"/>
      <c r="I27" s="425"/>
      <c r="J27" s="425"/>
    </row>
    <row r="28" spans="1:12" x14ac:dyDescent="0.35">
      <c r="A28" s="389"/>
      <c r="B28" s="389"/>
      <c r="C28" s="389"/>
      <c r="D28" s="389"/>
      <c r="E28" s="389"/>
      <c r="F28" s="389"/>
      <c r="G28" s="389"/>
      <c r="H28" s="389"/>
      <c r="I28" s="389"/>
      <c r="J28" s="389"/>
    </row>
    <row r="29" spans="1:12" x14ac:dyDescent="0.35">
      <c r="A29" s="375" t="s">
        <v>27</v>
      </c>
      <c r="B29" s="375"/>
      <c r="C29" s="375"/>
      <c r="D29" s="375"/>
      <c r="E29" s="375"/>
      <c r="F29" s="375"/>
      <c r="G29" s="375"/>
      <c r="H29" s="375"/>
      <c r="I29" s="375"/>
      <c r="J29" s="375"/>
    </row>
    <row r="30" spans="1:12" x14ac:dyDescent="0.35">
      <c r="A30" s="392"/>
      <c r="B30" s="392"/>
      <c r="C30" s="392"/>
      <c r="D30" s="392"/>
      <c r="E30" s="392"/>
      <c r="F30" s="392"/>
      <c r="G30" s="392"/>
      <c r="H30" s="392"/>
      <c r="I30" s="392"/>
      <c r="J30" s="392"/>
    </row>
    <row r="31" spans="1:12" x14ac:dyDescent="0.35">
      <c r="A31" s="5">
        <v>1</v>
      </c>
      <c r="B31" s="372" t="s">
        <v>28</v>
      </c>
      <c r="C31" s="372"/>
      <c r="D31" s="372"/>
      <c r="E31" s="372"/>
      <c r="F31" s="372"/>
      <c r="G31" s="423" t="s">
        <v>29</v>
      </c>
      <c r="H31" s="423"/>
      <c r="I31" s="423"/>
      <c r="J31" s="423"/>
    </row>
    <row r="32" spans="1:12" x14ac:dyDescent="0.35">
      <c r="A32" s="6" t="s">
        <v>3</v>
      </c>
      <c r="B32" s="365" t="s">
        <v>30</v>
      </c>
      <c r="C32" s="365"/>
      <c r="D32" s="365"/>
      <c r="E32" s="365"/>
      <c r="F32" s="365"/>
      <c r="G32" s="336">
        <f>G25</f>
        <v>3350.96</v>
      </c>
      <c r="H32" s="336"/>
      <c r="I32" s="336"/>
      <c r="J32" s="336"/>
    </row>
    <row r="33" spans="1:10" x14ac:dyDescent="0.35">
      <c r="A33" s="6" t="s">
        <v>5</v>
      </c>
      <c r="B33" s="365" t="s">
        <v>31</v>
      </c>
      <c r="C33" s="365"/>
      <c r="D33" s="365"/>
      <c r="E33" s="365"/>
      <c r="F33" s="365"/>
      <c r="G33" s="336">
        <f>G32*30%</f>
        <v>1005.288</v>
      </c>
      <c r="H33" s="336"/>
      <c r="I33" s="336"/>
      <c r="J33" s="336"/>
    </row>
    <row r="34" spans="1:10" x14ac:dyDescent="0.35">
      <c r="A34" s="6" t="s">
        <v>7</v>
      </c>
      <c r="B34" s="435" t="s">
        <v>32</v>
      </c>
      <c r="C34" s="435"/>
      <c r="D34" s="435"/>
      <c r="E34" s="435"/>
      <c r="F34" s="435"/>
      <c r="G34" s="336">
        <v>0</v>
      </c>
      <c r="H34" s="336"/>
      <c r="I34" s="336"/>
      <c r="J34" s="336"/>
    </row>
    <row r="35" spans="1:10" x14ac:dyDescent="0.35">
      <c r="A35" s="372" t="s">
        <v>33</v>
      </c>
      <c r="B35" s="372"/>
      <c r="C35" s="372"/>
      <c r="D35" s="372"/>
      <c r="E35" s="372"/>
      <c r="F35" s="372"/>
      <c r="G35" s="333">
        <f>SUM(G32:J34)</f>
        <v>4356.2479999999996</v>
      </c>
      <c r="H35" s="333"/>
      <c r="I35" s="333"/>
      <c r="J35" s="333"/>
    </row>
    <row r="36" spans="1:10" x14ac:dyDescent="0.35">
      <c r="A36" s="389"/>
      <c r="B36" s="389"/>
      <c r="C36" s="389"/>
      <c r="D36" s="389"/>
      <c r="E36" s="389"/>
      <c r="F36" s="389"/>
      <c r="G36" s="389"/>
      <c r="H36" s="389"/>
      <c r="I36" s="389"/>
      <c r="J36" s="389"/>
    </row>
    <row r="37" spans="1:10" x14ac:dyDescent="0.35">
      <c r="A37" s="375" t="s">
        <v>34</v>
      </c>
      <c r="B37" s="375"/>
      <c r="C37" s="375"/>
      <c r="D37" s="375"/>
      <c r="E37" s="375"/>
      <c r="F37" s="375"/>
      <c r="G37" s="375"/>
      <c r="H37" s="375"/>
      <c r="I37" s="375"/>
      <c r="J37" s="375"/>
    </row>
    <row r="38" spans="1:10" x14ac:dyDescent="0.35">
      <c r="A38" s="376"/>
      <c r="B38" s="376"/>
      <c r="C38" s="376"/>
      <c r="D38" s="376"/>
      <c r="E38" s="376"/>
      <c r="F38" s="376"/>
      <c r="G38" s="376"/>
      <c r="H38" s="376"/>
      <c r="I38" s="376"/>
      <c r="J38" s="376"/>
    </row>
    <row r="39" spans="1:10" x14ac:dyDescent="0.35">
      <c r="A39" s="377" t="s">
        <v>35</v>
      </c>
      <c r="B39" s="377"/>
      <c r="C39" s="377"/>
      <c r="D39" s="377"/>
      <c r="E39" s="377"/>
      <c r="F39" s="377"/>
      <c r="G39" s="377"/>
      <c r="H39" s="377"/>
      <c r="I39" s="377"/>
      <c r="J39" s="377"/>
    </row>
    <row r="40" spans="1:10" x14ac:dyDescent="0.35">
      <c r="A40" s="427" t="s">
        <v>36</v>
      </c>
      <c r="B40" s="427"/>
      <c r="C40" s="427"/>
      <c r="D40" s="427"/>
      <c r="E40" s="427"/>
      <c r="F40" s="427"/>
      <c r="G40" s="428">
        <f>G35</f>
        <v>4356.2479999999996</v>
      </c>
      <c r="H40" s="428"/>
      <c r="I40" s="428"/>
      <c r="J40" s="428"/>
    </row>
    <row r="41" spans="1:10" x14ac:dyDescent="0.35">
      <c r="A41" s="392"/>
      <c r="B41" s="392"/>
      <c r="C41" s="392"/>
      <c r="D41" s="392"/>
      <c r="E41" s="392"/>
      <c r="F41" s="392"/>
      <c r="G41" s="392"/>
      <c r="H41" s="392"/>
      <c r="I41" s="392"/>
      <c r="J41" s="392"/>
    </row>
    <row r="42" spans="1:10" x14ac:dyDescent="0.35">
      <c r="A42" s="4" t="s">
        <v>37</v>
      </c>
      <c r="B42" s="332" t="s">
        <v>38</v>
      </c>
      <c r="C42" s="332"/>
      <c r="D42" s="332"/>
      <c r="E42" s="332"/>
      <c r="F42" s="332"/>
      <c r="G42" s="332" t="s">
        <v>39</v>
      </c>
      <c r="H42" s="332"/>
      <c r="I42" s="372" t="s">
        <v>29</v>
      </c>
      <c r="J42" s="372"/>
    </row>
    <row r="43" spans="1:10" x14ac:dyDescent="0.35">
      <c r="A43" s="7" t="s">
        <v>3</v>
      </c>
      <c r="B43" s="335" t="s">
        <v>40</v>
      </c>
      <c r="C43" s="335"/>
      <c r="D43" s="335"/>
      <c r="E43" s="335"/>
      <c r="F43" s="335"/>
      <c r="G43" s="411">
        <v>8.3299999999999999E-2</v>
      </c>
      <c r="H43" s="411"/>
      <c r="I43" s="421">
        <f>G40*G43</f>
        <v>362.87545839999996</v>
      </c>
      <c r="J43" s="421"/>
    </row>
    <row r="44" spans="1:10" x14ac:dyDescent="0.35">
      <c r="A44" s="7" t="s">
        <v>5</v>
      </c>
      <c r="B44" s="335" t="s">
        <v>41</v>
      </c>
      <c r="C44" s="335"/>
      <c r="D44" s="335"/>
      <c r="E44" s="335"/>
      <c r="F44" s="335"/>
      <c r="G44" s="373">
        <v>2.7799999999999998E-2</v>
      </c>
      <c r="H44" s="373"/>
      <c r="I44" s="421">
        <f>G40*G44</f>
        <v>121.10369439999998</v>
      </c>
      <c r="J44" s="421"/>
    </row>
    <row r="45" spans="1:10" x14ac:dyDescent="0.35">
      <c r="A45" s="332" t="s">
        <v>33</v>
      </c>
      <c r="B45" s="332"/>
      <c r="C45" s="332"/>
      <c r="D45" s="332"/>
      <c r="E45" s="332"/>
      <c r="F45" s="332"/>
      <c r="G45" s="411">
        <f>SUM(G43:H44)</f>
        <v>0.1111</v>
      </c>
      <c r="H45" s="419"/>
      <c r="I45" s="420">
        <f>SUM(I43:J44)</f>
        <v>483.97915279999995</v>
      </c>
      <c r="J45" s="420"/>
    </row>
    <row r="46" spans="1:10" x14ac:dyDescent="0.35">
      <c r="A46" s="342"/>
      <c r="B46" s="342"/>
      <c r="C46" s="342"/>
      <c r="D46" s="342"/>
      <c r="E46" s="342"/>
      <c r="F46" s="342"/>
      <c r="G46" s="342"/>
      <c r="H46" s="342"/>
      <c r="I46" s="342"/>
      <c r="J46" s="342"/>
    </row>
    <row r="47" spans="1:10" x14ac:dyDescent="0.35">
      <c r="A47" s="414" t="s">
        <v>42</v>
      </c>
      <c r="B47" s="414"/>
      <c r="C47" s="414"/>
      <c r="D47" s="414"/>
      <c r="E47" s="414"/>
      <c r="F47" s="414"/>
      <c r="G47" s="414"/>
      <c r="H47" s="414"/>
      <c r="I47" s="414"/>
      <c r="J47" s="414"/>
    </row>
    <row r="48" spans="1:10" x14ac:dyDescent="0.35">
      <c r="A48" s="378" t="s">
        <v>43</v>
      </c>
      <c r="B48" s="378"/>
      <c r="C48" s="378"/>
      <c r="D48" s="378"/>
      <c r="E48" s="378"/>
      <c r="F48" s="378"/>
      <c r="G48" s="415">
        <f>G35+I45</f>
        <v>4840.2271527999992</v>
      </c>
      <c r="H48" s="415"/>
      <c r="I48" s="415"/>
      <c r="J48" s="415"/>
    </row>
    <row r="49" spans="1:10" x14ac:dyDescent="0.35">
      <c r="A49" s="416"/>
      <c r="B49" s="416"/>
      <c r="C49" s="416"/>
      <c r="D49" s="416"/>
      <c r="E49" s="416"/>
      <c r="F49" s="416"/>
      <c r="G49" s="416"/>
      <c r="H49" s="416"/>
      <c r="I49" s="416"/>
      <c r="J49" s="416"/>
    </row>
    <row r="50" spans="1:10" x14ac:dyDescent="0.35">
      <c r="A50" s="8" t="s">
        <v>44</v>
      </c>
      <c r="B50" s="417" t="s">
        <v>45</v>
      </c>
      <c r="C50" s="417"/>
      <c r="D50" s="417"/>
      <c r="E50" s="417"/>
      <c r="F50" s="417"/>
      <c r="G50" s="371" t="s">
        <v>39</v>
      </c>
      <c r="H50" s="371"/>
      <c r="I50" s="418" t="s">
        <v>29</v>
      </c>
      <c r="J50" s="418"/>
    </row>
    <row r="51" spans="1:10" x14ac:dyDescent="0.35">
      <c r="A51" s="7" t="s">
        <v>3</v>
      </c>
      <c r="B51" s="335" t="s">
        <v>46</v>
      </c>
      <c r="C51" s="335"/>
      <c r="D51" s="335"/>
      <c r="E51" s="335"/>
      <c r="F51" s="335"/>
      <c r="G51" s="411">
        <f>Eletrotécnico!G52</f>
        <v>0.2</v>
      </c>
      <c r="H51" s="411"/>
      <c r="I51" s="340">
        <f>G48*G51</f>
        <v>968.04543055999989</v>
      </c>
      <c r="J51" s="340"/>
    </row>
    <row r="52" spans="1:10" x14ac:dyDescent="0.35">
      <c r="A52" s="7" t="s">
        <v>5</v>
      </c>
      <c r="B52" s="335" t="s">
        <v>47</v>
      </c>
      <c r="C52" s="335"/>
      <c r="D52" s="335"/>
      <c r="E52" s="335"/>
      <c r="F52" s="335"/>
      <c r="G52" s="411">
        <v>2.5000000000000001E-2</v>
      </c>
      <c r="H52" s="411"/>
      <c r="I52" s="340">
        <f>G48*G52</f>
        <v>121.00567881999999</v>
      </c>
      <c r="J52" s="340"/>
    </row>
    <row r="53" spans="1:10" x14ac:dyDescent="0.35">
      <c r="A53" s="7" t="s">
        <v>7</v>
      </c>
      <c r="B53" s="412" t="s">
        <v>48</v>
      </c>
      <c r="C53" s="412"/>
      <c r="D53" s="412"/>
      <c r="E53" s="412"/>
      <c r="F53" s="412"/>
      <c r="G53" s="413">
        <v>0.03</v>
      </c>
      <c r="H53" s="413"/>
      <c r="I53" s="340">
        <f>G48*G53</f>
        <v>145.20681458399997</v>
      </c>
      <c r="J53" s="340"/>
    </row>
    <row r="54" spans="1:10" x14ac:dyDescent="0.35">
      <c r="A54" s="7" t="s">
        <v>9</v>
      </c>
      <c r="B54" s="335" t="s">
        <v>49</v>
      </c>
      <c r="C54" s="335"/>
      <c r="D54" s="335"/>
      <c r="E54" s="335"/>
      <c r="F54" s="335"/>
      <c r="G54" s="411">
        <v>1.4999999999999999E-2</v>
      </c>
      <c r="H54" s="411"/>
      <c r="I54" s="340">
        <f>G48*G54</f>
        <v>72.603407291999986</v>
      </c>
      <c r="J54" s="340"/>
    </row>
    <row r="55" spans="1:10" x14ac:dyDescent="0.35">
      <c r="A55" s="7" t="s">
        <v>50</v>
      </c>
      <c r="B55" s="335" t="s">
        <v>51</v>
      </c>
      <c r="C55" s="335"/>
      <c r="D55" s="335"/>
      <c r="E55" s="335"/>
      <c r="F55" s="335"/>
      <c r="G55" s="411">
        <v>0.01</v>
      </c>
      <c r="H55" s="411"/>
      <c r="I55" s="340">
        <f>G48*G55</f>
        <v>48.402271527999993</v>
      </c>
      <c r="J55" s="340"/>
    </row>
    <row r="56" spans="1:10" x14ac:dyDescent="0.35">
      <c r="A56" s="7" t="s">
        <v>52</v>
      </c>
      <c r="B56" s="335" t="s">
        <v>53</v>
      </c>
      <c r="C56" s="335"/>
      <c r="D56" s="335"/>
      <c r="E56" s="335"/>
      <c r="F56" s="335"/>
      <c r="G56" s="411">
        <v>6.0000000000000001E-3</v>
      </c>
      <c r="H56" s="411"/>
      <c r="I56" s="340">
        <f>G48*G56</f>
        <v>29.041362916799997</v>
      </c>
      <c r="J56" s="340"/>
    </row>
    <row r="57" spans="1:10" x14ac:dyDescent="0.35">
      <c r="A57" s="7" t="s">
        <v>54</v>
      </c>
      <c r="B57" s="335" t="s">
        <v>55</v>
      </c>
      <c r="C57" s="335"/>
      <c r="D57" s="335"/>
      <c r="E57" s="335"/>
      <c r="F57" s="335"/>
      <c r="G57" s="411">
        <v>2E-3</v>
      </c>
      <c r="H57" s="411"/>
      <c r="I57" s="340">
        <f>G48*G57</f>
        <v>9.6804543055999979</v>
      </c>
      <c r="J57" s="340"/>
    </row>
    <row r="58" spans="1:10" x14ac:dyDescent="0.35">
      <c r="A58" s="7" t="s">
        <v>56</v>
      </c>
      <c r="B58" s="335" t="s">
        <v>57</v>
      </c>
      <c r="C58" s="335"/>
      <c r="D58" s="335"/>
      <c r="E58" s="335"/>
      <c r="F58" s="335"/>
      <c r="G58" s="411">
        <v>0.08</v>
      </c>
      <c r="H58" s="411"/>
      <c r="I58" s="340">
        <f>G48*G58</f>
        <v>387.21817222399994</v>
      </c>
      <c r="J58" s="340"/>
    </row>
    <row r="59" spans="1:10" x14ac:dyDescent="0.35">
      <c r="A59" s="332" t="s">
        <v>58</v>
      </c>
      <c r="B59" s="332"/>
      <c r="C59" s="332"/>
      <c r="D59" s="332"/>
      <c r="E59" s="332"/>
      <c r="F59" s="332"/>
      <c r="G59" s="410">
        <f>SUM(G51:H58)</f>
        <v>0.36800000000000005</v>
      </c>
      <c r="H59" s="332"/>
      <c r="I59" s="341">
        <f>SUM(I51:J58)</f>
        <v>1781.2035922303999</v>
      </c>
      <c r="J59" s="341"/>
    </row>
    <row r="60" spans="1:10" x14ac:dyDescent="0.35">
      <c r="A60" s="389"/>
      <c r="B60" s="389"/>
      <c r="C60" s="389"/>
      <c r="D60" s="389"/>
      <c r="E60" s="389"/>
      <c r="F60" s="389"/>
      <c r="G60" s="389"/>
      <c r="H60" s="389"/>
      <c r="I60" s="389"/>
      <c r="J60" s="389"/>
    </row>
    <row r="61" spans="1:10" x14ac:dyDescent="0.35">
      <c r="A61" s="377" t="s">
        <v>59</v>
      </c>
      <c r="B61" s="377"/>
      <c r="C61" s="377"/>
      <c r="D61" s="377"/>
      <c r="E61" s="377"/>
      <c r="F61" s="377"/>
      <c r="G61" s="377"/>
      <c r="H61" s="377"/>
      <c r="I61" s="377"/>
      <c r="J61" s="377"/>
    </row>
    <row r="62" spans="1:10" x14ac:dyDescent="0.35">
      <c r="A62" s="392"/>
      <c r="B62" s="392"/>
      <c r="C62" s="392"/>
      <c r="D62" s="392"/>
      <c r="E62" s="392"/>
      <c r="F62" s="392"/>
      <c r="G62" s="392"/>
      <c r="H62" s="392"/>
      <c r="I62" s="392"/>
      <c r="J62" s="392"/>
    </row>
    <row r="63" spans="1:10" ht="14.5" customHeight="1" x14ac:dyDescent="0.35">
      <c r="A63" s="9" t="s">
        <v>60</v>
      </c>
      <c r="B63" s="292" t="s">
        <v>61</v>
      </c>
      <c r="C63" s="292"/>
      <c r="D63" s="292"/>
      <c r="E63" s="292"/>
      <c r="F63" s="292"/>
      <c r="G63" s="406" t="s">
        <v>62</v>
      </c>
      <c r="H63" s="407"/>
      <c r="I63" s="298" t="s">
        <v>29</v>
      </c>
      <c r="J63" s="300"/>
    </row>
    <row r="64" spans="1:10" x14ac:dyDescent="0.35">
      <c r="A64" s="10" t="s">
        <v>3</v>
      </c>
      <c r="B64" s="293" t="s">
        <v>63</v>
      </c>
      <c r="C64" s="293"/>
      <c r="D64" s="293"/>
      <c r="E64" s="293"/>
      <c r="F64" s="293"/>
      <c r="G64" s="404">
        <v>0.06</v>
      </c>
      <c r="H64" s="405"/>
      <c r="I64" s="408">
        <f>IF((2*4.9*21)-(G64*G32)&lt;0,0,(2*4.9*21)-(G64*G32))</f>
        <v>4.7424000000000035</v>
      </c>
      <c r="J64" s="409"/>
    </row>
    <row r="65" spans="1:10" x14ac:dyDescent="0.35">
      <c r="A65" s="10" t="s">
        <v>5</v>
      </c>
      <c r="B65" s="293" t="s">
        <v>64</v>
      </c>
      <c r="C65" s="293"/>
      <c r="D65" s="293"/>
      <c r="E65" s="293"/>
      <c r="F65" s="293"/>
      <c r="G65" s="404">
        <v>0</v>
      </c>
      <c r="H65" s="405"/>
      <c r="I65" s="294">
        <f>(42*21)-(42*21*G65)</f>
        <v>882</v>
      </c>
      <c r="J65" s="294"/>
    </row>
    <row r="66" spans="1:10" x14ac:dyDescent="0.35">
      <c r="A66" s="10" t="s">
        <v>7</v>
      </c>
      <c r="B66" s="293" t="s">
        <v>65</v>
      </c>
      <c r="C66" s="293"/>
      <c r="D66" s="293"/>
      <c r="E66" s="293"/>
      <c r="F66" s="293"/>
      <c r="G66" s="393" t="s">
        <v>66</v>
      </c>
      <c r="H66" s="394"/>
      <c r="I66" s="294">
        <v>109.1</v>
      </c>
      <c r="J66" s="294"/>
    </row>
    <row r="67" spans="1:10" x14ac:dyDescent="0.35">
      <c r="A67" s="10" t="s">
        <v>9</v>
      </c>
      <c r="B67" s="293" t="s">
        <v>67</v>
      </c>
      <c r="C67" s="293"/>
      <c r="D67" s="293"/>
      <c r="E67" s="293"/>
      <c r="F67" s="293"/>
      <c r="G67" s="393" t="s">
        <v>66</v>
      </c>
      <c r="H67" s="394"/>
      <c r="I67" s="294">
        <v>11.35</v>
      </c>
      <c r="J67" s="294"/>
    </row>
    <row r="68" spans="1:10" x14ac:dyDescent="0.35">
      <c r="A68" s="10" t="s">
        <v>50</v>
      </c>
      <c r="B68" s="399" t="s">
        <v>68</v>
      </c>
      <c r="C68" s="400"/>
      <c r="D68" s="400"/>
      <c r="E68" s="400"/>
      <c r="F68" s="401"/>
      <c r="G68" s="402">
        <v>2.6069999999999999E-2</v>
      </c>
      <c r="H68" s="403"/>
      <c r="I68" s="294">
        <f xml:space="preserve"> (503.13*G68)</f>
        <v>13.1165991</v>
      </c>
      <c r="J68" s="294"/>
    </row>
    <row r="69" spans="1:10" x14ac:dyDescent="0.35">
      <c r="A69" s="10" t="s">
        <v>52</v>
      </c>
      <c r="B69" s="335" t="s">
        <v>32</v>
      </c>
      <c r="C69" s="335"/>
      <c r="D69" s="335"/>
      <c r="E69" s="335"/>
      <c r="F69" s="335"/>
      <c r="G69" s="393" t="s">
        <v>66</v>
      </c>
      <c r="H69" s="394"/>
      <c r="I69" s="336">
        <v>0</v>
      </c>
      <c r="J69" s="336"/>
    </row>
    <row r="70" spans="1:10" x14ac:dyDescent="0.35">
      <c r="A70" s="395" t="s">
        <v>33</v>
      </c>
      <c r="B70" s="396"/>
      <c r="C70" s="396"/>
      <c r="D70" s="396"/>
      <c r="E70" s="396"/>
      <c r="F70" s="396"/>
      <c r="G70" s="396"/>
      <c r="H70" s="397"/>
      <c r="I70" s="333">
        <f>SUM(I64:J69)</f>
        <v>1020.3089991000001</v>
      </c>
      <c r="J70" s="333"/>
    </row>
    <row r="71" spans="1:10" x14ac:dyDescent="0.35">
      <c r="A71" s="398"/>
      <c r="B71" s="398"/>
      <c r="C71" s="398"/>
      <c r="D71" s="398"/>
      <c r="E71" s="398"/>
      <c r="F71" s="398"/>
      <c r="G71" s="398"/>
      <c r="H71" s="398"/>
      <c r="I71" s="398"/>
      <c r="J71" s="398"/>
    </row>
    <row r="72" spans="1:10" x14ac:dyDescent="0.35">
      <c r="A72" s="377" t="s">
        <v>69</v>
      </c>
      <c r="B72" s="377"/>
      <c r="C72" s="377"/>
      <c r="D72" s="377"/>
      <c r="E72" s="377"/>
      <c r="F72" s="377"/>
      <c r="G72" s="377"/>
      <c r="H72" s="377"/>
      <c r="I72" s="377"/>
      <c r="J72" s="377"/>
    </row>
    <row r="73" spans="1:10" x14ac:dyDescent="0.35">
      <c r="A73" s="392"/>
      <c r="B73" s="392"/>
      <c r="C73" s="392"/>
      <c r="D73" s="392"/>
      <c r="E73" s="392"/>
      <c r="F73" s="392"/>
      <c r="G73" s="392"/>
      <c r="H73" s="392"/>
      <c r="I73" s="392"/>
      <c r="J73" s="392"/>
    </row>
    <row r="74" spans="1:10" x14ac:dyDescent="0.35">
      <c r="A74" s="4">
        <v>2</v>
      </c>
      <c r="B74" s="332" t="s">
        <v>70</v>
      </c>
      <c r="C74" s="332"/>
      <c r="D74" s="332"/>
      <c r="E74" s="332"/>
      <c r="F74" s="332"/>
      <c r="G74" s="332" t="s">
        <v>29</v>
      </c>
      <c r="H74" s="332"/>
      <c r="I74" s="332"/>
      <c r="J74" s="332"/>
    </row>
    <row r="75" spans="1:10" x14ac:dyDescent="0.35">
      <c r="A75" s="7" t="s">
        <v>37</v>
      </c>
      <c r="B75" s="335" t="s">
        <v>38</v>
      </c>
      <c r="C75" s="335"/>
      <c r="D75" s="335"/>
      <c r="E75" s="335"/>
      <c r="F75" s="335"/>
      <c r="G75" s="336">
        <f>I45</f>
        <v>483.97915279999995</v>
      </c>
      <c r="H75" s="336"/>
      <c r="I75" s="336"/>
      <c r="J75" s="336"/>
    </row>
    <row r="76" spans="1:10" x14ac:dyDescent="0.35">
      <c r="A76" s="7" t="s">
        <v>44</v>
      </c>
      <c r="B76" s="335" t="s">
        <v>45</v>
      </c>
      <c r="C76" s="335"/>
      <c r="D76" s="335"/>
      <c r="E76" s="335"/>
      <c r="F76" s="335"/>
      <c r="G76" s="336">
        <f>I59</f>
        <v>1781.2035922303999</v>
      </c>
      <c r="H76" s="336"/>
      <c r="I76" s="336"/>
      <c r="J76" s="336"/>
    </row>
    <row r="77" spans="1:10" x14ac:dyDescent="0.35">
      <c r="A77" s="7" t="s">
        <v>60</v>
      </c>
      <c r="B77" s="335" t="s">
        <v>61</v>
      </c>
      <c r="C77" s="335"/>
      <c r="D77" s="335"/>
      <c r="E77" s="335"/>
      <c r="F77" s="335"/>
      <c r="G77" s="336">
        <f>I70</f>
        <v>1020.3089991000001</v>
      </c>
      <c r="H77" s="336"/>
      <c r="I77" s="336"/>
      <c r="J77" s="336"/>
    </row>
    <row r="78" spans="1:10" x14ac:dyDescent="0.35">
      <c r="A78" s="332" t="s">
        <v>33</v>
      </c>
      <c r="B78" s="332"/>
      <c r="C78" s="332"/>
      <c r="D78" s="332"/>
      <c r="E78" s="332"/>
      <c r="F78" s="332"/>
      <c r="G78" s="333">
        <f>SUM(G75:J77)</f>
        <v>3285.4917441304001</v>
      </c>
      <c r="H78" s="333"/>
      <c r="I78" s="333"/>
      <c r="J78" s="333"/>
    </row>
    <row r="79" spans="1:10" x14ac:dyDescent="0.35">
      <c r="A79" s="389"/>
      <c r="B79" s="389"/>
      <c r="C79" s="389"/>
      <c r="D79" s="389"/>
      <c r="E79" s="389"/>
      <c r="F79" s="389"/>
      <c r="G79" s="389"/>
      <c r="H79" s="389"/>
      <c r="I79" s="389"/>
      <c r="J79" s="389"/>
    </row>
    <row r="80" spans="1:10" x14ac:dyDescent="0.35">
      <c r="A80" s="376"/>
      <c r="B80" s="376"/>
      <c r="C80" s="376"/>
      <c r="D80" s="376"/>
      <c r="E80" s="376"/>
      <c r="F80" s="376"/>
      <c r="G80" s="376"/>
      <c r="H80" s="376"/>
      <c r="I80" s="376"/>
      <c r="J80" s="376"/>
    </row>
    <row r="81" spans="1:12" x14ac:dyDescent="0.35">
      <c r="A81" s="375" t="s">
        <v>71</v>
      </c>
      <c r="B81" s="375"/>
      <c r="C81" s="375"/>
      <c r="D81" s="375"/>
      <c r="E81" s="375"/>
      <c r="F81" s="375"/>
      <c r="G81" s="375"/>
      <c r="H81" s="375"/>
      <c r="I81" s="375"/>
      <c r="J81" s="375"/>
    </row>
    <row r="82" spans="1:12" x14ac:dyDescent="0.35">
      <c r="A82" s="378" t="s">
        <v>72</v>
      </c>
      <c r="B82" s="378"/>
      <c r="C82" s="378"/>
      <c r="D82" s="378"/>
      <c r="E82" s="378"/>
      <c r="F82" s="378"/>
      <c r="G82" s="390">
        <f>G35</f>
        <v>4356.2479999999996</v>
      </c>
      <c r="H82" s="390"/>
      <c r="I82" s="390"/>
      <c r="J82" s="390"/>
    </row>
    <row r="83" spans="1:12" x14ac:dyDescent="0.35">
      <c r="A83" s="391"/>
      <c r="B83" s="391"/>
      <c r="C83" s="391"/>
      <c r="D83" s="391"/>
      <c r="E83" s="391"/>
      <c r="F83" s="391"/>
      <c r="G83" s="391"/>
      <c r="H83" s="391"/>
      <c r="I83" s="391"/>
      <c r="J83" s="391"/>
    </row>
    <row r="84" spans="1:12" x14ac:dyDescent="0.35">
      <c r="A84" s="5">
        <v>3</v>
      </c>
      <c r="B84" s="372" t="s">
        <v>73</v>
      </c>
      <c r="C84" s="372"/>
      <c r="D84" s="372"/>
      <c r="E84" s="372"/>
      <c r="F84" s="372"/>
      <c r="G84" s="387" t="s">
        <v>39</v>
      </c>
      <c r="H84" s="387"/>
      <c r="I84" s="372" t="s">
        <v>29</v>
      </c>
      <c r="J84" s="372"/>
    </row>
    <row r="85" spans="1:12" x14ac:dyDescent="0.35">
      <c r="A85" s="6" t="s">
        <v>3</v>
      </c>
      <c r="B85" s="380" t="s">
        <v>74</v>
      </c>
      <c r="C85" s="380"/>
      <c r="D85" s="380"/>
      <c r="E85" s="380"/>
      <c r="F85" s="380"/>
      <c r="G85" s="25">
        <v>0.05</v>
      </c>
      <c r="H85" s="11">
        <f>(1/12)*G85</f>
        <v>4.1666666666666666E-3</v>
      </c>
      <c r="I85" s="340">
        <f>G82*H85</f>
        <v>18.151033333333331</v>
      </c>
      <c r="J85" s="340"/>
    </row>
    <row r="86" spans="1:12" x14ac:dyDescent="0.35">
      <c r="A86" s="6" t="s">
        <v>5</v>
      </c>
      <c r="B86" s="380" t="s">
        <v>75</v>
      </c>
      <c r="C86" s="380"/>
      <c r="D86" s="380"/>
      <c r="E86" s="380"/>
      <c r="F86" s="380"/>
      <c r="G86" s="373">
        <f>H85*0.08</f>
        <v>3.3333333333333332E-4</v>
      </c>
      <c r="H86" s="373"/>
      <c r="I86" s="388">
        <f>G82*G86</f>
        <v>1.4520826666666664</v>
      </c>
      <c r="J86" s="388"/>
    </row>
    <row r="87" spans="1:12" x14ac:dyDescent="0.35">
      <c r="A87" s="6" t="s">
        <v>7</v>
      </c>
      <c r="B87" s="380" t="s">
        <v>76</v>
      </c>
      <c r="C87" s="380"/>
      <c r="D87" s="380"/>
      <c r="E87" s="380"/>
      <c r="F87" s="380"/>
      <c r="G87" s="25">
        <v>0.9</v>
      </c>
      <c r="H87" s="11">
        <f>(1+2/12+(1/3*1/12))*0.08*0.4*G87</f>
        <v>3.4400000000000007E-2</v>
      </c>
      <c r="I87" s="385">
        <f>G82*H87</f>
        <v>149.85493120000001</v>
      </c>
      <c r="J87" s="386"/>
    </row>
    <row r="88" spans="1:12" x14ac:dyDescent="0.35">
      <c r="A88" s="6" t="s">
        <v>9</v>
      </c>
      <c r="B88" s="380" t="s">
        <v>77</v>
      </c>
      <c r="C88" s="380"/>
      <c r="D88" s="380"/>
      <c r="E88" s="380"/>
      <c r="F88" s="380"/>
      <c r="G88" s="373">
        <f>((7/30) + (7/30*0.1))/ 24</f>
        <v>1.0694444444444444E-2</v>
      </c>
      <c r="H88" s="373"/>
      <c r="I88" s="385">
        <f>G82*G88</f>
        <v>46.587652222222218</v>
      </c>
      <c r="J88" s="386"/>
      <c r="L88" s="12"/>
    </row>
    <row r="89" spans="1:12" x14ac:dyDescent="0.35">
      <c r="A89" s="6" t="s">
        <v>50</v>
      </c>
      <c r="B89" s="380" t="s">
        <v>78</v>
      </c>
      <c r="C89" s="380"/>
      <c r="D89" s="380"/>
      <c r="E89" s="380"/>
      <c r="F89" s="380"/>
      <c r="G89" s="373">
        <f>G88*G59</f>
        <v>3.9355555555555559E-3</v>
      </c>
      <c r="H89" s="373"/>
      <c r="I89" s="385">
        <f>G82*G89</f>
        <v>17.144256017777778</v>
      </c>
      <c r="J89" s="386"/>
    </row>
    <row r="90" spans="1:12" x14ac:dyDescent="0.35">
      <c r="A90" s="6" t="s">
        <v>52</v>
      </c>
      <c r="B90" s="380" t="s">
        <v>79</v>
      </c>
      <c r="C90" s="380"/>
      <c r="D90" s="380"/>
      <c r="E90" s="380"/>
      <c r="F90" s="380"/>
      <c r="G90" s="381">
        <f>G88*0.08*0.4</f>
        <v>3.4222222222222228E-4</v>
      </c>
      <c r="H90" s="381"/>
      <c r="I90" s="382">
        <f>G82*G90</f>
        <v>1.4908048711111113</v>
      </c>
      <c r="J90" s="383"/>
    </row>
    <row r="91" spans="1:12" x14ac:dyDescent="0.35">
      <c r="A91" s="372" t="s">
        <v>33</v>
      </c>
      <c r="B91" s="372"/>
      <c r="C91" s="372"/>
      <c r="D91" s="372"/>
      <c r="E91" s="372"/>
      <c r="F91" s="372"/>
      <c r="G91" s="384">
        <f>SUM(H85,G86,H87,G88,G89,G90)</f>
        <v>5.3872222222222224E-2</v>
      </c>
      <c r="H91" s="384"/>
      <c r="I91" s="341">
        <f>SUM(I85:J90)</f>
        <v>234.68076031111113</v>
      </c>
      <c r="J91" s="341"/>
    </row>
    <row r="92" spans="1:12" x14ac:dyDescent="0.35">
      <c r="A92" s="374"/>
      <c r="B92" s="374"/>
      <c r="C92" s="374"/>
      <c r="D92" s="374"/>
      <c r="E92" s="374"/>
      <c r="F92" s="374"/>
      <c r="G92" s="374"/>
      <c r="H92" s="374"/>
      <c r="I92" s="374"/>
      <c r="J92" s="374"/>
    </row>
    <row r="93" spans="1:12" x14ac:dyDescent="0.35">
      <c r="A93" s="375" t="s">
        <v>80</v>
      </c>
      <c r="B93" s="375"/>
      <c r="C93" s="375"/>
      <c r="D93" s="375"/>
      <c r="E93" s="375"/>
      <c r="F93" s="375"/>
      <c r="G93" s="375"/>
      <c r="H93" s="375"/>
      <c r="I93" s="375"/>
      <c r="J93" s="375"/>
    </row>
    <row r="94" spans="1:12" x14ac:dyDescent="0.35">
      <c r="A94" s="376"/>
      <c r="B94" s="376"/>
      <c r="C94" s="376"/>
      <c r="D94" s="376"/>
      <c r="E94" s="376"/>
      <c r="F94" s="376"/>
      <c r="G94" s="376"/>
      <c r="H94" s="376"/>
      <c r="I94" s="376"/>
      <c r="J94" s="376"/>
    </row>
    <row r="95" spans="1:12" x14ac:dyDescent="0.35">
      <c r="A95" s="377" t="s">
        <v>81</v>
      </c>
      <c r="B95" s="377"/>
      <c r="C95" s="377"/>
      <c r="D95" s="377"/>
      <c r="E95" s="377"/>
      <c r="F95" s="377"/>
      <c r="G95" s="377"/>
      <c r="H95" s="377"/>
      <c r="I95" s="377"/>
      <c r="J95" s="377"/>
    </row>
    <row r="96" spans="1:12" x14ac:dyDescent="0.35">
      <c r="A96" s="378" t="s">
        <v>82</v>
      </c>
      <c r="B96" s="378"/>
      <c r="C96" s="378"/>
      <c r="D96" s="378"/>
      <c r="E96" s="378"/>
      <c r="F96" s="378"/>
      <c r="G96" s="379">
        <f>G35</f>
        <v>4356.2479999999996</v>
      </c>
      <c r="H96" s="379"/>
      <c r="I96" s="379"/>
      <c r="J96" s="379"/>
    </row>
    <row r="97" spans="1:10" x14ac:dyDescent="0.35">
      <c r="A97" s="370"/>
      <c r="B97" s="370"/>
      <c r="C97" s="370"/>
      <c r="D97" s="370"/>
      <c r="E97" s="370"/>
      <c r="F97" s="370"/>
      <c r="G97" s="370"/>
      <c r="H97" s="370"/>
      <c r="I97" s="370"/>
      <c r="J97" s="370"/>
    </row>
    <row r="98" spans="1:10" x14ac:dyDescent="0.35">
      <c r="A98" s="13" t="s">
        <v>83</v>
      </c>
      <c r="B98" s="371" t="s">
        <v>84</v>
      </c>
      <c r="C98" s="371"/>
      <c r="D98" s="371"/>
      <c r="E98" s="371"/>
      <c r="F98" s="371"/>
      <c r="G98" s="372" t="s">
        <v>85</v>
      </c>
      <c r="H98" s="372"/>
      <c r="I98" s="332" t="s">
        <v>29</v>
      </c>
      <c r="J98" s="332"/>
    </row>
    <row r="99" spans="1:10" x14ac:dyDescent="0.35">
      <c r="A99" s="7" t="s">
        <v>3</v>
      </c>
      <c r="B99" s="335" t="s">
        <v>86</v>
      </c>
      <c r="C99" s="335"/>
      <c r="D99" s="335"/>
      <c r="E99" s="335"/>
      <c r="F99" s="335"/>
      <c r="G99" s="373">
        <f>1/12</f>
        <v>8.3333333333333329E-2</v>
      </c>
      <c r="H99" s="373"/>
      <c r="I99" s="336">
        <f>G99*G96</f>
        <v>363.02066666666661</v>
      </c>
      <c r="J99" s="336"/>
    </row>
    <row r="100" spans="1:10" x14ac:dyDescent="0.35">
      <c r="A100" s="6" t="s">
        <v>5</v>
      </c>
      <c r="B100" s="365" t="s">
        <v>87</v>
      </c>
      <c r="C100" s="365"/>
      <c r="D100" s="365"/>
      <c r="E100" s="365"/>
      <c r="F100" s="365"/>
      <c r="G100" s="366">
        <f>(1/30)/12</f>
        <v>2.7777777777777779E-3</v>
      </c>
      <c r="H100" s="366"/>
      <c r="I100" s="336">
        <f>G96*G100</f>
        <v>12.100688888888888</v>
      </c>
      <c r="J100" s="336"/>
    </row>
    <row r="101" spans="1:10" x14ac:dyDescent="0.35">
      <c r="A101" s="6" t="s">
        <v>7</v>
      </c>
      <c r="B101" s="365" t="s">
        <v>88</v>
      </c>
      <c r="C101" s="365"/>
      <c r="D101" s="365"/>
      <c r="E101" s="365"/>
      <c r="F101" s="365"/>
      <c r="G101" s="366">
        <f>(5/30)/12*0.015</f>
        <v>2.0833333333333332E-4</v>
      </c>
      <c r="H101" s="366"/>
      <c r="I101" s="336">
        <f>G96*G101</f>
        <v>0.90755166666666653</v>
      </c>
      <c r="J101" s="336"/>
    </row>
    <row r="102" spans="1:10" x14ac:dyDescent="0.35">
      <c r="A102" s="6" t="s">
        <v>9</v>
      </c>
      <c r="B102" s="365" t="s">
        <v>89</v>
      </c>
      <c r="C102" s="365"/>
      <c r="D102" s="365"/>
      <c r="E102" s="365"/>
      <c r="F102" s="365"/>
      <c r="G102" s="366">
        <f>1/12*0.0078</f>
        <v>6.4999999999999997E-4</v>
      </c>
      <c r="H102" s="366"/>
      <c r="I102" s="336">
        <f>G96*G102</f>
        <v>2.8315611999999994</v>
      </c>
      <c r="J102" s="336"/>
    </row>
    <row r="103" spans="1:10" x14ac:dyDescent="0.35">
      <c r="A103" s="6" t="s">
        <v>50</v>
      </c>
      <c r="B103" s="365" t="s">
        <v>90</v>
      </c>
      <c r="C103" s="365"/>
      <c r="D103" s="365"/>
      <c r="E103" s="365"/>
      <c r="F103" s="365"/>
      <c r="G103" s="366">
        <f>((1/12)+(1/3*1/12))*0.02607*6/12</f>
        <v>1.4483333333333334E-3</v>
      </c>
      <c r="H103" s="366"/>
      <c r="I103" s="336">
        <f>G96*G103</f>
        <v>6.3092991866666663</v>
      </c>
      <c r="J103" s="336"/>
    </row>
    <row r="104" spans="1:10" x14ac:dyDescent="0.35">
      <c r="A104" s="6" t="s">
        <v>52</v>
      </c>
      <c r="B104" s="365" t="s">
        <v>91</v>
      </c>
      <c r="C104" s="365"/>
      <c r="D104" s="365"/>
      <c r="E104" s="365"/>
      <c r="F104" s="365"/>
      <c r="G104" s="366">
        <f>(5/30/12)</f>
        <v>1.3888888888888888E-2</v>
      </c>
      <c r="H104" s="366"/>
      <c r="I104" s="336">
        <f>G96*G104</f>
        <v>60.503444444444433</v>
      </c>
      <c r="J104" s="336"/>
    </row>
    <row r="105" spans="1:10" x14ac:dyDescent="0.35">
      <c r="A105" s="367" t="s">
        <v>92</v>
      </c>
      <c r="B105" s="367"/>
      <c r="C105" s="367"/>
      <c r="D105" s="367"/>
      <c r="E105" s="367"/>
      <c r="F105" s="367"/>
      <c r="G105" s="368">
        <f>SUM(G99:H104)</f>
        <v>0.10230666666666666</v>
      </c>
      <c r="H105" s="368"/>
      <c r="I105" s="369">
        <f>SUM(I99:J104)</f>
        <v>445.67321205333332</v>
      </c>
      <c r="J105" s="369"/>
    </row>
    <row r="106" spans="1:10" x14ac:dyDescent="0.35">
      <c r="A106" s="14" t="s">
        <v>54</v>
      </c>
      <c r="B106" s="352" t="s">
        <v>93</v>
      </c>
      <c r="C106" s="352"/>
      <c r="D106" s="352"/>
      <c r="E106" s="352"/>
      <c r="F106" s="353"/>
      <c r="G106" s="347">
        <f>(G105-G103)*(2/12+(1/3*1/12))</f>
        <v>1.961134259259259E-2</v>
      </c>
      <c r="H106" s="353"/>
      <c r="I106" s="349">
        <f>G96*G106</f>
        <v>85.431871946296283</v>
      </c>
      <c r="J106" s="350"/>
    </row>
    <row r="107" spans="1:10" x14ac:dyDescent="0.35">
      <c r="A107" s="358" t="s">
        <v>94</v>
      </c>
      <c r="B107" s="359"/>
      <c r="C107" s="359"/>
      <c r="D107" s="359"/>
      <c r="E107" s="359"/>
      <c r="F107" s="360"/>
      <c r="G107" s="361">
        <f>SUM(G105:H106)</f>
        <v>0.12191800925925925</v>
      </c>
      <c r="H107" s="362"/>
      <c r="I107" s="363">
        <f>SUM(I105:J106)</f>
        <v>531.10508399962964</v>
      </c>
      <c r="J107" s="364"/>
    </row>
    <row r="108" spans="1:10" x14ac:dyDescent="0.35">
      <c r="A108" s="14" t="s">
        <v>56</v>
      </c>
      <c r="B108" s="345" t="s">
        <v>95</v>
      </c>
      <c r="C108" s="345"/>
      <c r="D108" s="345"/>
      <c r="E108" s="345"/>
      <c r="F108" s="346"/>
      <c r="G108" s="347">
        <f>G107*G59</f>
        <v>4.486582740740741E-2</v>
      </c>
      <c r="H108" s="348"/>
      <c r="I108" s="349">
        <f>G96*G108</f>
        <v>195.44667091186369</v>
      </c>
      <c r="J108" s="350"/>
    </row>
    <row r="109" spans="1:10" x14ac:dyDescent="0.35">
      <c r="A109" s="351" t="s">
        <v>33</v>
      </c>
      <c r="B109" s="352"/>
      <c r="C109" s="352"/>
      <c r="D109" s="352"/>
      <c r="E109" s="352"/>
      <c r="F109" s="353"/>
      <c r="G109" s="354">
        <f>SUM(G107:H108)</f>
        <v>0.16678383666666666</v>
      </c>
      <c r="H109" s="355"/>
      <c r="I109" s="356">
        <f>G96*G109</f>
        <v>726.55175491149328</v>
      </c>
      <c r="J109" s="357"/>
    </row>
    <row r="110" spans="1:10" x14ac:dyDescent="0.35">
      <c r="A110" s="2"/>
      <c r="B110" s="342"/>
      <c r="C110" s="342"/>
      <c r="D110" s="342"/>
      <c r="E110" s="342"/>
      <c r="F110" s="342"/>
      <c r="G110" s="342"/>
      <c r="H110" s="342"/>
      <c r="I110" s="342"/>
      <c r="J110" s="342"/>
    </row>
    <row r="111" spans="1:10" x14ac:dyDescent="0.35">
      <c r="A111" s="338" t="s">
        <v>96</v>
      </c>
      <c r="B111" s="338"/>
      <c r="C111" s="338"/>
      <c r="D111" s="338"/>
      <c r="E111" s="338"/>
      <c r="F111" s="338"/>
      <c r="G111" s="338"/>
      <c r="H111" s="338"/>
      <c r="I111" s="338"/>
      <c r="J111" s="338"/>
    </row>
    <row r="112" spans="1:10" x14ac:dyDescent="0.35">
      <c r="A112" s="343"/>
      <c r="B112" s="343"/>
      <c r="C112" s="343"/>
      <c r="D112" s="343"/>
      <c r="E112" s="343"/>
      <c r="F112" s="343"/>
      <c r="G112" s="344"/>
      <c r="H112" s="344"/>
      <c r="I112" s="344"/>
      <c r="J112" s="344"/>
    </row>
    <row r="113" spans="1:10" x14ac:dyDescent="0.35">
      <c r="A113" s="4" t="s">
        <v>97</v>
      </c>
      <c r="B113" s="332" t="s">
        <v>98</v>
      </c>
      <c r="C113" s="332"/>
      <c r="D113" s="332"/>
      <c r="E113" s="332"/>
      <c r="F113" s="332"/>
      <c r="G113" s="332" t="s">
        <v>29</v>
      </c>
      <c r="H113" s="332"/>
      <c r="I113" s="332"/>
      <c r="J113" s="332"/>
    </row>
    <row r="114" spans="1:10" x14ac:dyDescent="0.35">
      <c r="A114" s="7" t="s">
        <v>3</v>
      </c>
      <c r="B114" s="335" t="s">
        <v>99</v>
      </c>
      <c r="C114" s="335"/>
      <c r="D114" s="335"/>
      <c r="E114" s="335"/>
      <c r="F114" s="335"/>
      <c r="G114" s="340">
        <v>0</v>
      </c>
      <c r="H114" s="340"/>
      <c r="I114" s="340"/>
      <c r="J114" s="340"/>
    </row>
    <row r="115" spans="1:10" x14ac:dyDescent="0.35">
      <c r="A115" s="332" t="s">
        <v>33</v>
      </c>
      <c r="B115" s="332"/>
      <c r="C115" s="332"/>
      <c r="D115" s="332"/>
      <c r="E115" s="332"/>
      <c r="F115" s="332"/>
      <c r="G115" s="341">
        <f>SUM(G114)</f>
        <v>0</v>
      </c>
      <c r="H115" s="341"/>
      <c r="I115" s="341"/>
      <c r="J115" s="341"/>
    </row>
    <row r="116" spans="1:10" x14ac:dyDescent="0.35">
      <c r="A116" s="15"/>
      <c r="B116" s="334"/>
      <c r="C116" s="334"/>
      <c r="D116" s="334"/>
      <c r="E116" s="334"/>
      <c r="F116" s="334"/>
      <c r="G116" s="334"/>
      <c r="H116" s="334"/>
      <c r="I116" s="334"/>
      <c r="J116" s="334"/>
    </row>
    <row r="117" spans="1:10" x14ac:dyDescent="0.35">
      <c r="A117" s="338" t="s">
        <v>100</v>
      </c>
      <c r="B117" s="338"/>
      <c r="C117" s="338"/>
      <c r="D117" s="338"/>
      <c r="E117" s="338"/>
      <c r="F117" s="338"/>
      <c r="G117" s="338"/>
      <c r="H117" s="338"/>
      <c r="I117" s="338"/>
      <c r="J117" s="338"/>
    </row>
    <row r="118" spans="1:10" x14ac:dyDescent="0.35">
      <c r="A118" s="15"/>
      <c r="B118" s="334"/>
      <c r="C118" s="334"/>
      <c r="D118" s="334"/>
      <c r="E118" s="334"/>
      <c r="F118" s="334"/>
      <c r="G118" s="339"/>
      <c r="H118" s="339"/>
      <c r="I118" s="339"/>
      <c r="J118" s="339"/>
    </row>
    <row r="119" spans="1:10" x14ac:dyDescent="0.35">
      <c r="A119" s="4">
        <v>4</v>
      </c>
      <c r="B119" s="332" t="s">
        <v>101</v>
      </c>
      <c r="C119" s="332"/>
      <c r="D119" s="332"/>
      <c r="E119" s="332"/>
      <c r="F119" s="332"/>
      <c r="G119" s="332" t="s">
        <v>29</v>
      </c>
      <c r="H119" s="332"/>
      <c r="I119" s="332"/>
      <c r="J119" s="332"/>
    </row>
    <row r="120" spans="1:10" x14ac:dyDescent="0.35">
      <c r="A120" s="7" t="s">
        <v>83</v>
      </c>
      <c r="B120" s="335" t="s">
        <v>102</v>
      </c>
      <c r="C120" s="335"/>
      <c r="D120" s="335"/>
      <c r="E120" s="335"/>
      <c r="F120" s="335"/>
      <c r="G120" s="336">
        <f>I109</f>
        <v>726.55175491149328</v>
      </c>
      <c r="H120" s="336"/>
      <c r="I120" s="336"/>
      <c r="J120" s="336"/>
    </row>
    <row r="121" spans="1:10" x14ac:dyDescent="0.35">
      <c r="A121" s="7" t="s">
        <v>97</v>
      </c>
      <c r="B121" s="337" t="s">
        <v>103</v>
      </c>
      <c r="C121" s="337"/>
      <c r="D121" s="337"/>
      <c r="E121" s="337"/>
      <c r="F121" s="337"/>
      <c r="G121" s="336">
        <f>G115</f>
        <v>0</v>
      </c>
      <c r="H121" s="336"/>
      <c r="I121" s="336"/>
      <c r="J121" s="336"/>
    </row>
    <row r="122" spans="1:10" x14ac:dyDescent="0.35">
      <c r="A122" s="332" t="s">
        <v>33</v>
      </c>
      <c r="B122" s="332"/>
      <c r="C122" s="332"/>
      <c r="D122" s="332"/>
      <c r="E122" s="332"/>
      <c r="F122" s="332"/>
      <c r="G122" s="333">
        <f>SUM(G120:J121)</f>
        <v>726.55175491149328</v>
      </c>
      <c r="H122" s="333"/>
      <c r="I122" s="333"/>
      <c r="J122" s="333"/>
    </row>
    <row r="123" spans="1:10" x14ac:dyDescent="0.35">
      <c r="A123" s="15"/>
      <c r="B123" s="334"/>
      <c r="C123" s="334"/>
      <c r="D123" s="334"/>
      <c r="E123" s="334"/>
      <c r="F123" s="334"/>
      <c r="G123" s="334"/>
      <c r="H123" s="334"/>
      <c r="I123" s="334"/>
      <c r="J123" s="334"/>
    </row>
    <row r="124" spans="1:10" x14ac:dyDescent="0.35">
      <c r="A124" s="15"/>
      <c r="B124" s="334"/>
      <c r="C124" s="334"/>
      <c r="D124" s="334"/>
      <c r="E124" s="334"/>
      <c r="F124" s="334"/>
      <c r="G124" s="334"/>
      <c r="H124" s="334"/>
      <c r="I124" s="334"/>
      <c r="J124" s="334"/>
    </row>
    <row r="125" spans="1:10" x14ac:dyDescent="0.35">
      <c r="A125" s="324" t="s">
        <v>104</v>
      </c>
      <c r="B125" s="324"/>
      <c r="C125" s="324"/>
      <c r="D125" s="324"/>
      <c r="E125" s="324"/>
      <c r="F125" s="324"/>
      <c r="G125" s="324"/>
      <c r="H125" s="324"/>
      <c r="I125" s="324"/>
      <c r="J125" s="324"/>
    </row>
    <row r="126" spans="1:10" x14ac:dyDescent="0.35">
      <c r="A126" s="16"/>
      <c r="B126" s="331"/>
      <c r="C126" s="331"/>
      <c r="D126" s="331"/>
      <c r="E126" s="331"/>
      <c r="F126" s="331"/>
      <c r="G126" s="331"/>
      <c r="H126" s="331"/>
      <c r="I126" s="331"/>
      <c r="J126" s="331"/>
    </row>
    <row r="127" spans="1:10" x14ac:dyDescent="0.35">
      <c r="A127" s="9">
        <v>5</v>
      </c>
      <c r="B127" s="317" t="s">
        <v>105</v>
      </c>
      <c r="C127" s="317"/>
      <c r="D127" s="317"/>
      <c r="E127" s="317"/>
      <c r="F127" s="317"/>
      <c r="G127" s="292" t="s">
        <v>29</v>
      </c>
      <c r="H127" s="292"/>
      <c r="I127" s="292"/>
      <c r="J127" s="292"/>
    </row>
    <row r="128" spans="1:10" x14ac:dyDescent="0.35">
      <c r="A128" s="10" t="s">
        <v>3</v>
      </c>
      <c r="B128" s="293" t="s">
        <v>106</v>
      </c>
      <c r="C128" s="293"/>
      <c r="D128" s="293"/>
      <c r="E128" s="293"/>
      <c r="F128" s="293"/>
      <c r="G128" s="294">
        <f>Insumos!G7</f>
        <v>50.609583333333326</v>
      </c>
      <c r="H128" s="294"/>
      <c r="I128" s="294"/>
      <c r="J128" s="294"/>
    </row>
    <row r="129" spans="1:10" x14ac:dyDescent="0.35">
      <c r="A129" s="10" t="s">
        <v>5</v>
      </c>
      <c r="B129" s="325" t="s">
        <v>369</v>
      </c>
      <c r="C129" s="326"/>
      <c r="D129" s="326"/>
      <c r="E129" s="326"/>
      <c r="F129" s="327"/>
      <c r="G129" s="328">
        <f>Insumos!G26</f>
        <v>18.604125000000003</v>
      </c>
      <c r="H129" s="329"/>
      <c r="I129" s="329"/>
      <c r="J129" s="330"/>
    </row>
    <row r="130" spans="1:10" x14ac:dyDescent="0.35">
      <c r="A130" s="10" t="s">
        <v>7</v>
      </c>
      <c r="B130" s="325" t="s">
        <v>367</v>
      </c>
      <c r="C130" s="326"/>
      <c r="D130" s="326"/>
      <c r="E130" s="326"/>
      <c r="F130" s="327"/>
      <c r="G130" s="328">
        <f>Insumos!G34</f>
        <v>10</v>
      </c>
      <c r="H130" s="329"/>
      <c r="I130" s="329"/>
      <c r="J130" s="330"/>
    </row>
    <row r="131" spans="1:10" ht="14.5" customHeight="1" x14ac:dyDescent="0.35">
      <c r="A131" s="10" t="s">
        <v>9</v>
      </c>
      <c r="B131" s="325" t="s">
        <v>368</v>
      </c>
      <c r="C131" s="326"/>
      <c r="D131" s="326"/>
      <c r="E131" s="326"/>
      <c r="F131" s="327"/>
      <c r="G131" s="328">
        <f>Insumos!H191</f>
        <v>66.102322500000014</v>
      </c>
      <c r="H131" s="329"/>
      <c r="I131" s="329"/>
      <c r="J131" s="330"/>
    </row>
    <row r="132" spans="1:10" x14ac:dyDescent="0.35">
      <c r="A132" s="292" t="s">
        <v>58</v>
      </c>
      <c r="B132" s="292"/>
      <c r="C132" s="292"/>
      <c r="D132" s="292"/>
      <c r="E132" s="292"/>
      <c r="F132" s="292"/>
      <c r="G132" s="304">
        <f>SUM(G128:J131)</f>
        <v>145.31603083333334</v>
      </c>
      <c r="H132" s="304"/>
      <c r="I132" s="304"/>
      <c r="J132" s="304"/>
    </row>
    <row r="133" spans="1:10" x14ac:dyDescent="0.35">
      <c r="A133" s="17"/>
      <c r="B133" s="323"/>
      <c r="C133" s="323"/>
      <c r="D133" s="323"/>
      <c r="E133" s="323"/>
      <c r="F133" s="323"/>
      <c r="G133" s="323"/>
      <c r="H133" s="323"/>
      <c r="I133" s="323"/>
      <c r="J133" s="323"/>
    </row>
    <row r="134" spans="1:10" x14ac:dyDescent="0.35">
      <c r="A134" s="324" t="s">
        <v>107</v>
      </c>
      <c r="B134" s="324"/>
      <c r="C134" s="324"/>
      <c r="D134" s="324"/>
      <c r="E134" s="324"/>
      <c r="F134" s="324"/>
      <c r="G134" s="324"/>
      <c r="H134" s="324"/>
      <c r="I134" s="324"/>
      <c r="J134" s="324"/>
    </row>
    <row r="135" spans="1:10" x14ac:dyDescent="0.35">
      <c r="A135" s="319" t="s">
        <v>108</v>
      </c>
      <c r="B135" s="319"/>
      <c r="C135" s="319"/>
      <c r="D135" s="319"/>
      <c r="E135" s="319"/>
      <c r="F135" s="319"/>
      <c r="G135" s="320">
        <f>G35+G78+I91+G122+G132</f>
        <v>8748.2882901863377</v>
      </c>
      <c r="H135" s="321"/>
      <c r="I135" s="321"/>
      <c r="J135" s="321"/>
    </row>
    <row r="136" spans="1:10" x14ac:dyDescent="0.35">
      <c r="A136" s="319" t="s">
        <v>109</v>
      </c>
      <c r="B136" s="319"/>
      <c r="C136" s="319"/>
      <c r="D136" s="319"/>
      <c r="E136" s="319"/>
      <c r="F136" s="319"/>
      <c r="G136" s="320">
        <f>G135+I139</f>
        <v>9088.5967046745864</v>
      </c>
      <c r="H136" s="321"/>
      <c r="I136" s="321"/>
      <c r="J136" s="321"/>
    </row>
    <row r="137" spans="1:10" x14ac:dyDescent="0.35">
      <c r="A137" s="319" t="s">
        <v>110</v>
      </c>
      <c r="B137" s="319"/>
      <c r="C137" s="319"/>
      <c r="D137" s="319"/>
      <c r="E137" s="319"/>
      <c r="F137" s="319"/>
      <c r="G137" s="322">
        <f>(G136+I140)/(1-G141)</f>
        <v>10361.099735356447</v>
      </c>
      <c r="H137" s="322"/>
      <c r="I137" s="322"/>
      <c r="J137" s="322"/>
    </row>
    <row r="138" spans="1:10" x14ac:dyDescent="0.35">
      <c r="A138" s="9">
        <v>6</v>
      </c>
      <c r="B138" s="317" t="s">
        <v>111</v>
      </c>
      <c r="C138" s="317"/>
      <c r="D138" s="317"/>
      <c r="E138" s="317"/>
      <c r="F138" s="317"/>
      <c r="G138" s="318" t="s">
        <v>39</v>
      </c>
      <c r="H138" s="318"/>
      <c r="I138" s="318" t="s">
        <v>29</v>
      </c>
      <c r="J138" s="318"/>
    </row>
    <row r="139" spans="1:10" x14ac:dyDescent="0.35">
      <c r="A139" s="10" t="s">
        <v>3</v>
      </c>
      <c r="B139" s="293" t="s">
        <v>112</v>
      </c>
      <c r="C139" s="293"/>
      <c r="D139" s="293"/>
      <c r="E139" s="293"/>
      <c r="F139" s="293"/>
      <c r="G139" s="313">
        <v>3.8899999999999997E-2</v>
      </c>
      <c r="H139" s="313"/>
      <c r="I139" s="312">
        <f>G135*G139</f>
        <v>340.3084144882485</v>
      </c>
      <c r="J139" s="293"/>
    </row>
    <row r="140" spans="1:10" x14ac:dyDescent="0.35">
      <c r="A140" s="10" t="s">
        <v>5</v>
      </c>
      <c r="B140" s="293" t="s">
        <v>113</v>
      </c>
      <c r="C140" s="293"/>
      <c r="D140" s="293"/>
      <c r="E140" s="293"/>
      <c r="F140" s="293"/>
      <c r="G140" s="313">
        <v>4.1399999999999999E-2</v>
      </c>
      <c r="H140" s="313"/>
      <c r="I140" s="312">
        <f>G136*G140</f>
        <v>376.26790357352786</v>
      </c>
      <c r="J140" s="293"/>
    </row>
    <row r="141" spans="1:10" x14ac:dyDescent="0.35">
      <c r="A141" s="10" t="s">
        <v>7</v>
      </c>
      <c r="B141" s="293" t="s">
        <v>114</v>
      </c>
      <c r="C141" s="293"/>
      <c r="D141" s="293"/>
      <c r="E141" s="293"/>
      <c r="F141" s="293"/>
      <c r="G141" s="314">
        <f>SUM(G142:H145)</f>
        <v>8.6499999999999994E-2</v>
      </c>
      <c r="H141" s="314"/>
      <c r="I141" s="315">
        <f>G137*G141</f>
        <v>896.23512710833256</v>
      </c>
      <c r="J141" s="316"/>
    </row>
    <row r="142" spans="1:10" x14ac:dyDescent="0.35">
      <c r="A142" s="18" t="s">
        <v>115</v>
      </c>
      <c r="B142" s="310" t="s">
        <v>371</v>
      </c>
      <c r="C142" s="310"/>
      <c r="D142" s="310"/>
      <c r="E142" s="310"/>
      <c r="F142" s="310"/>
      <c r="G142" s="447">
        <f>Eletrotécnico!G143</f>
        <v>0.03</v>
      </c>
      <c r="H142" s="447"/>
      <c r="I142" s="309">
        <f>G137*G142</f>
        <v>310.83299206069341</v>
      </c>
      <c r="J142" s="310"/>
    </row>
    <row r="143" spans="1:10" x14ac:dyDescent="0.35">
      <c r="A143" s="18" t="s">
        <v>116</v>
      </c>
      <c r="B143" s="310" t="s">
        <v>372</v>
      </c>
      <c r="C143" s="310"/>
      <c r="D143" s="310"/>
      <c r="E143" s="310"/>
      <c r="F143" s="310"/>
      <c r="G143" s="447">
        <f>Eletrotécnico!G144</f>
        <v>6.4999999999999997E-3</v>
      </c>
      <c r="H143" s="447"/>
      <c r="I143" s="309">
        <f>G137*G143</f>
        <v>67.347148279816906</v>
      </c>
      <c r="J143" s="310"/>
    </row>
    <row r="144" spans="1:10" x14ac:dyDescent="0.35">
      <c r="A144" s="18" t="s">
        <v>117</v>
      </c>
      <c r="B144" s="310" t="s">
        <v>118</v>
      </c>
      <c r="C144" s="310"/>
      <c r="D144" s="310"/>
      <c r="E144" s="310"/>
      <c r="F144" s="310"/>
      <c r="G144" s="447">
        <f>Eletrotécnico!G145</f>
        <v>0.05</v>
      </c>
      <c r="H144" s="447"/>
      <c r="I144" s="309">
        <f>G136*G144</f>
        <v>454.42983523372936</v>
      </c>
      <c r="J144" s="310"/>
    </row>
    <row r="145" spans="1:10" ht="14.5" customHeight="1" x14ac:dyDescent="0.35">
      <c r="A145" s="18" t="s">
        <v>165</v>
      </c>
      <c r="B145" s="310" t="s">
        <v>164</v>
      </c>
      <c r="C145" s="310"/>
      <c r="D145" s="310"/>
      <c r="E145" s="310"/>
      <c r="F145" s="310"/>
      <c r="G145" s="447">
        <f>Eletrotécnico!G146</f>
        <v>0</v>
      </c>
      <c r="H145" s="447"/>
      <c r="I145" s="309">
        <f>G137*G145</f>
        <v>0</v>
      </c>
      <c r="J145" s="310"/>
    </row>
    <row r="146" spans="1:10" x14ac:dyDescent="0.35">
      <c r="A146" s="292" t="s">
        <v>58</v>
      </c>
      <c r="B146" s="292"/>
      <c r="C146" s="292"/>
      <c r="D146" s="292"/>
      <c r="E146" s="292"/>
      <c r="F146" s="292"/>
      <c r="G146" s="311"/>
      <c r="H146" s="311"/>
      <c r="I146" s="312">
        <f>SUM(I139:J141)</f>
        <v>1612.811445170109</v>
      </c>
      <c r="J146" s="293"/>
    </row>
    <row r="147" spans="1:10" x14ac:dyDescent="0.35">
      <c r="A147" s="19"/>
      <c r="B147" s="295"/>
      <c r="C147" s="295"/>
      <c r="D147" s="295"/>
      <c r="E147" s="295"/>
      <c r="F147" s="295"/>
      <c r="G147" s="295"/>
      <c r="H147" s="295"/>
      <c r="I147" s="295"/>
      <c r="J147" s="295"/>
    </row>
    <row r="148" spans="1:10" x14ac:dyDescent="0.35">
      <c r="A148" s="296" t="s">
        <v>119</v>
      </c>
      <c r="B148" s="296"/>
      <c r="C148" s="296"/>
      <c r="D148" s="296"/>
      <c r="E148" s="296"/>
      <c r="F148" s="296"/>
      <c r="G148" s="296"/>
      <c r="H148" s="296"/>
      <c r="I148" s="296"/>
      <c r="J148" s="296"/>
    </row>
    <row r="149" spans="1:10" x14ac:dyDescent="0.35">
      <c r="A149" s="20"/>
      <c r="B149" s="297"/>
      <c r="C149" s="297"/>
      <c r="D149" s="297"/>
      <c r="E149" s="297"/>
      <c r="F149" s="297"/>
      <c r="G149" s="297"/>
      <c r="H149" s="297"/>
      <c r="I149" s="297"/>
      <c r="J149" s="297"/>
    </row>
    <row r="150" spans="1:10" x14ac:dyDescent="0.35">
      <c r="A150" s="9"/>
      <c r="B150" s="292" t="s">
        <v>120</v>
      </c>
      <c r="C150" s="292"/>
      <c r="D150" s="292"/>
      <c r="E150" s="292"/>
      <c r="F150" s="292"/>
      <c r="G150" s="292" t="s">
        <v>29</v>
      </c>
      <c r="H150" s="292"/>
      <c r="I150" s="292"/>
      <c r="J150" s="292"/>
    </row>
    <row r="151" spans="1:10" x14ac:dyDescent="0.35">
      <c r="A151" s="9" t="s">
        <v>3</v>
      </c>
      <c r="B151" s="293" t="s">
        <v>27</v>
      </c>
      <c r="C151" s="293"/>
      <c r="D151" s="293"/>
      <c r="E151" s="293"/>
      <c r="F151" s="293"/>
      <c r="G151" s="294">
        <f>G35</f>
        <v>4356.2479999999996</v>
      </c>
      <c r="H151" s="294"/>
      <c r="I151" s="294"/>
      <c r="J151" s="294"/>
    </row>
    <row r="152" spans="1:10" x14ac:dyDescent="0.35">
      <c r="A152" s="9" t="s">
        <v>5</v>
      </c>
      <c r="B152" s="293" t="s">
        <v>34</v>
      </c>
      <c r="C152" s="293"/>
      <c r="D152" s="293"/>
      <c r="E152" s="293"/>
      <c r="F152" s="293"/>
      <c r="G152" s="294">
        <f>G78</f>
        <v>3285.4917441304001</v>
      </c>
      <c r="H152" s="294"/>
      <c r="I152" s="294"/>
      <c r="J152" s="294"/>
    </row>
    <row r="153" spans="1:10" x14ac:dyDescent="0.35">
      <c r="A153" s="9" t="s">
        <v>7</v>
      </c>
      <c r="B153" s="293" t="s">
        <v>71</v>
      </c>
      <c r="C153" s="293"/>
      <c r="D153" s="293"/>
      <c r="E153" s="293"/>
      <c r="F153" s="293"/>
      <c r="G153" s="294">
        <f>I91</f>
        <v>234.68076031111113</v>
      </c>
      <c r="H153" s="294"/>
      <c r="I153" s="294"/>
      <c r="J153" s="294"/>
    </row>
    <row r="154" spans="1:10" x14ac:dyDescent="0.35">
      <c r="A154" s="9" t="s">
        <v>9</v>
      </c>
      <c r="B154" s="293" t="s">
        <v>80</v>
      </c>
      <c r="C154" s="293"/>
      <c r="D154" s="293"/>
      <c r="E154" s="293"/>
      <c r="F154" s="293"/>
      <c r="G154" s="294">
        <f>G122</f>
        <v>726.55175491149328</v>
      </c>
      <c r="H154" s="294"/>
      <c r="I154" s="294"/>
      <c r="J154" s="294"/>
    </row>
    <row r="155" spans="1:10" x14ac:dyDescent="0.35">
      <c r="A155" s="9" t="s">
        <v>50</v>
      </c>
      <c r="B155" s="293" t="s">
        <v>104</v>
      </c>
      <c r="C155" s="293"/>
      <c r="D155" s="293"/>
      <c r="E155" s="293"/>
      <c r="F155" s="293"/>
      <c r="G155" s="294">
        <f>G132</f>
        <v>145.31603083333334</v>
      </c>
      <c r="H155" s="294"/>
      <c r="I155" s="294"/>
      <c r="J155" s="294"/>
    </row>
    <row r="156" spans="1:10" x14ac:dyDescent="0.35">
      <c r="A156" s="292" t="s">
        <v>121</v>
      </c>
      <c r="B156" s="292"/>
      <c r="C156" s="292"/>
      <c r="D156" s="292"/>
      <c r="E156" s="292"/>
      <c r="F156" s="292"/>
      <c r="G156" s="304">
        <f>SUM(G151:J155)</f>
        <v>8748.2882901863377</v>
      </c>
      <c r="H156" s="304"/>
      <c r="I156" s="304"/>
      <c r="J156" s="304"/>
    </row>
    <row r="157" spans="1:10" x14ac:dyDescent="0.35">
      <c r="A157" s="9" t="s">
        <v>52</v>
      </c>
      <c r="B157" s="293" t="s">
        <v>122</v>
      </c>
      <c r="C157" s="293"/>
      <c r="D157" s="293"/>
      <c r="E157" s="293"/>
      <c r="F157" s="293"/>
      <c r="G157" s="294">
        <f>I146</f>
        <v>1612.811445170109</v>
      </c>
      <c r="H157" s="294"/>
      <c r="I157" s="294"/>
      <c r="J157" s="294"/>
    </row>
    <row r="158" spans="1:10" x14ac:dyDescent="0.35">
      <c r="A158" s="292" t="s">
        <v>123</v>
      </c>
      <c r="B158" s="292"/>
      <c r="C158" s="292"/>
      <c r="D158" s="292"/>
      <c r="E158" s="292"/>
      <c r="F158" s="292"/>
      <c r="G158" s="304">
        <f>SUM(G156:J157)</f>
        <v>10361.099735356447</v>
      </c>
      <c r="H158" s="304"/>
      <c r="I158" s="304"/>
      <c r="J158" s="304"/>
    </row>
    <row r="159" spans="1:10" ht="14.5" customHeight="1" x14ac:dyDescent="0.35">
      <c r="A159" s="298" t="s">
        <v>152</v>
      </c>
      <c r="B159" s="299"/>
      <c r="C159" s="299"/>
      <c r="D159" s="299"/>
      <c r="E159" s="299"/>
      <c r="F159" s="300"/>
      <c r="G159" s="305">
        <v>1</v>
      </c>
      <c r="H159" s="306"/>
      <c r="I159" s="306"/>
      <c r="J159" s="307"/>
    </row>
    <row r="160" spans="1:10" x14ac:dyDescent="0.35">
      <c r="A160" s="298" t="s">
        <v>151</v>
      </c>
      <c r="B160" s="299"/>
      <c r="C160" s="299"/>
      <c r="D160" s="299"/>
      <c r="E160" s="299"/>
      <c r="F160" s="300"/>
      <c r="G160" s="301">
        <f>G158*G159</f>
        <v>10361.099735356447</v>
      </c>
      <c r="H160" s="302"/>
      <c r="I160" s="302"/>
      <c r="J160" s="303"/>
    </row>
    <row r="165" spans="10:10" x14ac:dyDescent="0.35">
      <c r="J165" s="21"/>
    </row>
  </sheetData>
  <sheetProtection algorithmName="SHA-512" hashValue="qORiwh5LN+nqGF2laH9la+4vsdIu/M2dIoTe73HTQaG2QNOjL8bJXuodmi5GkSGTaVaRy6WggAV2WzDUTBvCQw==" saltValue="33D1pg884K+75yD2jpC98A==" spinCount="100000" sheet="1" objects="1" scenarios="1"/>
  <mergeCells count="337">
    <mergeCell ref="B150:F150"/>
    <mergeCell ref="G150:J150"/>
    <mergeCell ref="B151:F151"/>
    <mergeCell ref="G151:J151"/>
    <mergeCell ref="B152:F152"/>
    <mergeCell ref="G152:J152"/>
    <mergeCell ref="B147:F147"/>
    <mergeCell ref="G147:H147"/>
    <mergeCell ref="I147:J147"/>
    <mergeCell ref="A148:J148"/>
    <mergeCell ref="B149:F149"/>
    <mergeCell ref="G149:H149"/>
    <mergeCell ref="I149:J149"/>
    <mergeCell ref="A160:F160"/>
    <mergeCell ref="G160:J160"/>
    <mergeCell ref="A156:F156"/>
    <mergeCell ref="G156:J156"/>
    <mergeCell ref="B157:F157"/>
    <mergeCell ref="G157:J157"/>
    <mergeCell ref="A158:F158"/>
    <mergeCell ref="G158:J158"/>
    <mergeCell ref="B153:F153"/>
    <mergeCell ref="G153:J153"/>
    <mergeCell ref="B154:F154"/>
    <mergeCell ref="G154:J154"/>
    <mergeCell ref="B155:F155"/>
    <mergeCell ref="G155:J155"/>
    <mergeCell ref="A159:F159"/>
    <mergeCell ref="G159:J159"/>
    <mergeCell ref="I145:J145"/>
    <mergeCell ref="A146:F146"/>
    <mergeCell ref="G146:H146"/>
    <mergeCell ref="I146:J146"/>
    <mergeCell ref="B142:F142"/>
    <mergeCell ref="G142:H142"/>
    <mergeCell ref="I142:J142"/>
    <mergeCell ref="B143:F143"/>
    <mergeCell ref="G143:H143"/>
    <mergeCell ref="I143:J143"/>
    <mergeCell ref="B144:F144"/>
    <mergeCell ref="G144:H144"/>
    <mergeCell ref="I144:J144"/>
    <mergeCell ref="B145:F145"/>
    <mergeCell ref="G145:H145"/>
    <mergeCell ref="B140:F140"/>
    <mergeCell ref="G140:H140"/>
    <mergeCell ref="I140:J140"/>
    <mergeCell ref="B141:F141"/>
    <mergeCell ref="G141:H141"/>
    <mergeCell ref="I141:J141"/>
    <mergeCell ref="B138:F138"/>
    <mergeCell ref="G138:H138"/>
    <mergeCell ref="I138:J138"/>
    <mergeCell ref="B139:F139"/>
    <mergeCell ref="G139:H139"/>
    <mergeCell ref="I139:J139"/>
    <mergeCell ref="A135:F135"/>
    <mergeCell ref="G135:J135"/>
    <mergeCell ref="A136:F136"/>
    <mergeCell ref="G136:J136"/>
    <mergeCell ref="A137:F137"/>
    <mergeCell ref="G137:J137"/>
    <mergeCell ref="A132:F132"/>
    <mergeCell ref="G132:J132"/>
    <mergeCell ref="B133:F133"/>
    <mergeCell ref="G133:H133"/>
    <mergeCell ref="I133:J133"/>
    <mergeCell ref="A134:J134"/>
    <mergeCell ref="B130:F130"/>
    <mergeCell ref="G130:J130"/>
    <mergeCell ref="B131:F131"/>
    <mergeCell ref="G131:J131"/>
    <mergeCell ref="A125:J125"/>
    <mergeCell ref="B126:F126"/>
    <mergeCell ref="G126:H126"/>
    <mergeCell ref="I126:J126"/>
    <mergeCell ref="B127:F127"/>
    <mergeCell ref="G127:J127"/>
    <mergeCell ref="B128:F128"/>
    <mergeCell ref="G128:J128"/>
    <mergeCell ref="B129:F129"/>
    <mergeCell ref="G129:J129"/>
    <mergeCell ref="A122:F122"/>
    <mergeCell ref="G122:J122"/>
    <mergeCell ref="B123:F123"/>
    <mergeCell ref="G123:H123"/>
    <mergeCell ref="I123:J123"/>
    <mergeCell ref="B124:F124"/>
    <mergeCell ref="G124:H124"/>
    <mergeCell ref="I124:J124"/>
    <mergeCell ref="B119:F119"/>
    <mergeCell ref="G119:J119"/>
    <mergeCell ref="B120:F120"/>
    <mergeCell ref="G120:J120"/>
    <mergeCell ref="B121:F121"/>
    <mergeCell ref="G121:J121"/>
    <mergeCell ref="B116:F116"/>
    <mergeCell ref="G116:H116"/>
    <mergeCell ref="I116:J116"/>
    <mergeCell ref="A117:J117"/>
    <mergeCell ref="B118:F118"/>
    <mergeCell ref="G118:J118"/>
    <mergeCell ref="B113:F113"/>
    <mergeCell ref="G113:J113"/>
    <mergeCell ref="B114:F114"/>
    <mergeCell ref="G114:J114"/>
    <mergeCell ref="A115:F115"/>
    <mergeCell ref="G115:J115"/>
    <mergeCell ref="B110:F110"/>
    <mergeCell ref="G110:H110"/>
    <mergeCell ref="I110:J110"/>
    <mergeCell ref="A111:J111"/>
    <mergeCell ref="A112:F112"/>
    <mergeCell ref="G112:J112"/>
    <mergeCell ref="B108:F108"/>
    <mergeCell ref="G108:H108"/>
    <mergeCell ref="I108:J108"/>
    <mergeCell ref="A109:F109"/>
    <mergeCell ref="G109:H109"/>
    <mergeCell ref="I109:J109"/>
    <mergeCell ref="B106:F106"/>
    <mergeCell ref="G106:H106"/>
    <mergeCell ref="I106:J106"/>
    <mergeCell ref="A107:F107"/>
    <mergeCell ref="G107:H107"/>
    <mergeCell ref="I107:J107"/>
    <mergeCell ref="B104:F104"/>
    <mergeCell ref="G104:H104"/>
    <mergeCell ref="I104:J104"/>
    <mergeCell ref="A105:F105"/>
    <mergeCell ref="G105:H105"/>
    <mergeCell ref="I105:J105"/>
    <mergeCell ref="B102:F102"/>
    <mergeCell ref="G102:H102"/>
    <mergeCell ref="I102:J102"/>
    <mergeCell ref="B103:F103"/>
    <mergeCell ref="G103:H103"/>
    <mergeCell ref="I103:J103"/>
    <mergeCell ref="B100:F100"/>
    <mergeCell ref="G100:H100"/>
    <mergeCell ref="I100:J100"/>
    <mergeCell ref="B101:F101"/>
    <mergeCell ref="G101:H101"/>
    <mergeCell ref="I101:J101"/>
    <mergeCell ref="A97:J97"/>
    <mergeCell ref="B98:F98"/>
    <mergeCell ref="G98:H98"/>
    <mergeCell ref="I98:J98"/>
    <mergeCell ref="B99:F99"/>
    <mergeCell ref="G99:H99"/>
    <mergeCell ref="I99:J99"/>
    <mergeCell ref="A92:J92"/>
    <mergeCell ref="A93:J93"/>
    <mergeCell ref="A94:J94"/>
    <mergeCell ref="A95:J95"/>
    <mergeCell ref="A96:F96"/>
    <mergeCell ref="G96:J96"/>
    <mergeCell ref="B90:F90"/>
    <mergeCell ref="G90:H90"/>
    <mergeCell ref="I90:J90"/>
    <mergeCell ref="A91:F91"/>
    <mergeCell ref="G91:H91"/>
    <mergeCell ref="I91:J91"/>
    <mergeCell ref="B87:F87"/>
    <mergeCell ref="I87:J87"/>
    <mergeCell ref="B88:F88"/>
    <mergeCell ref="G88:H88"/>
    <mergeCell ref="I88:J88"/>
    <mergeCell ref="B89:F89"/>
    <mergeCell ref="G89:H89"/>
    <mergeCell ref="I89:J89"/>
    <mergeCell ref="B84:F84"/>
    <mergeCell ref="G84:H84"/>
    <mergeCell ref="I84:J84"/>
    <mergeCell ref="B85:F85"/>
    <mergeCell ref="I85:J85"/>
    <mergeCell ref="B86:F86"/>
    <mergeCell ref="G86:H86"/>
    <mergeCell ref="I86:J86"/>
    <mergeCell ref="A79:J79"/>
    <mergeCell ref="A80:J80"/>
    <mergeCell ref="A81:J81"/>
    <mergeCell ref="A82:F82"/>
    <mergeCell ref="G82:J82"/>
    <mergeCell ref="A83:J83"/>
    <mergeCell ref="B76:F76"/>
    <mergeCell ref="G76:J76"/>
    <mergeCell ref="B77:F77"/>
    <mergeCell ref="G77:J77"/>
    <mergeCell ref="A78:F78"/>
    <mergeCell ref="G78:J78"/>
    <mergeCell ref="A72:J72"/>
    <mergeCell ref="A73:J73"/>
    <mergeCell ref="B74:F74"/>
    <mergeCell ref="G74:J74"/>
    <mergeCell ref="B75:F75"/>
    <mergeCell ref="G75:J75"/>
    <mergeCell ref="B69:F69"/>
    <mergeCell ref="G69:H69"/>
    <mergeCell ref="I69:J69"/>
    <mergeCell ref="A70:H70"/>
    <mergeCell ref="I70:J70"/>
    <mergeCell ref="A71:J71"/>
    <mergeCell ref="B67:F67"/>
    <mergeCell ref="G67:H67"/>
    <mergeCell ref="I67:J67"/>
    <mergeCell ref="B68:F68"/>
    <mergeCell ref="G68:H68"/>
    <mergeCell ref="I68:J68"/>
    <mergeCell ref="B65:F65"/>
    <mergeCell ref="G65:H65"/>
    <mergeCell ref="I65:J65"/>
    <mergeCell ref="B66:F66"/>
    <mergeCell ref="G66:H66"/>
    <mergeCell ref="I66:J66"/>
    <mergeCell ref="B63:F63"/>
    <mergeCell ref="G63:H63"/>
    <mergeCell ref="I63:J63"/>
    <mergeCell ref="B64:F64"/>
    <mergeCell ref="G64:H64"/>
    <mergeCell ref="I64:J64"/>
    <mergeCell ref="A59:F59"/>
    <mergeCell ref="G59:H59"/>
    <mergeCell ref="I59:J59"/>
    <mergeCell ref="A60:J60"/>
    <mergeCell ref="A61:J61"/>
    <mergeCell ref="A62:J62"/>
    <mergeCell ref="B57:F57"/>
    <mergeCell ref="G57:H57"/>
    <mergeCell ref="I57:J57"/>
    <mergeCell ref="B58:F58"/>
    <mergeCell ref="G58:H58"/>
    <mergeCell ref="I58:J58"/>
    <mergeCell ref="B55:F55"/>
    <mergeCell ref="G55:H55"/>
    <mergeCell ref="I55:J55"/>
    <mergeCell ref="B56:F56"/>
    <mergeCell ref="G56:H56"/>
    <mergeCell ref="I56:J56"/>
    <mergeCell ref="B53:F53"/>
    <mergeCell ref="G53:H53"/>
    <mergeCell ref="I53:J53"/>
    <mergeCell ref="B54:F54"/>
    <mergeCell ref="G54:H54"/>
    <mergeCell ref="I54:J54"/>
    <mergeCell ref="B51:F51"/>
    <mergeCell ref="G51:H51"/>
    <mergeCell ref="I51:J51"/>
    <mergeCell ref="B52:F52"/>
    <mergeCell ref="G52:H52"/>
    <mergeCell ref="I52:J52"/>
    <mergeCell ref="A46:J46"/>
    <mergeCell ref="A47:J47"/>
    <mergeCell ref="A48:F48"/>
    <mergeCell ref="G48:J48"/>
    <mergeCell ref="A49:J49"/>
    <mergeCell ref="B50:F50"/>
    <mergeCell ref="G50:H50"/>
    <mergeCell ref="I50:J50"/>
    <mergeCell ref="B44:F44"/>
    <mergeCell ref="G44:H44"/>
    <mergeCell ref="I44:J44"/>
    <mergeCell ref="A45:F45"/>
    <mergeCell ref="G45:H45"/>
    <mergeCell ref="I45:J45"/>
    <mergeCell ref="A41:J41"/>
    <mergeCell ref="B42:F42"/>
    <mergeCell ref="G42:H42"/>
    <mergeCell ref="I42:J42"/>
    <mergeCell ref="B43:F43"/>
    <mergeCell ref="G43:H43"/>
    <mergeCell ref="I43:J43"/>
    <mergeCell ref="A36:J36"/>
    <mergeCell ref="A37:J37"/>
    <mergeCell ref="A38:J38"/>
    <mergeCell ref="A39:J39"/>
    <mergeCell ref="A40:F40"/>
    <mergeCell ref="G40:J40"/>
    <mergeCell ref="B34:F34"/>
    <mergeCell ref="G34:J34"/>
    <mergeCell ref="A35:F35"/>
    <mergeCell ref="G35:J35"/>
    <mergeCell ref="A30:J30"/>
    <mergeCell ref="B31:F31"/>
    <mergeCell ref="G31:J31"/>
    <mergeCell ref="B32:F32"/>
    <mergeCell ref="G32:J32"/>
    <mergeCell ref="B33:F33"/>
    <mergeCell ref="G33:J33"/>
    <mergeCell ref="B26:F26"/>
    <mergeCell ref="G26:J26"/>
    <mergeCell ref="B27:F27"/>
    <mergeCell ref="G27:J27"/>
    <mergeCell ref="A28:J28"/>
    <mergeCell ref="A29:J29"/>
    <mergeCell ref="B23:F23"/>
    <mergeCell ref="G23:J23"/>
    <mergeCell ref="B24:F24"/>
    <mergeCell ref="G24:J24"/>
    <mergeCell ref="B25:F25"/>
    <mergeCell ref="G25:J25"/>
    <mergeCell ref="A20:J20"/>
    <mergeCell ref="A21:J21"/>
    <mergeCell ref="A22:J22"/>
    <mergeCell ref="D18:E18"/>
    <mergeCell ref="F18:J18"/>
    <mergeCell ref="B14:F14"/>
    <mergeCell ref="G14:J14"/>
    <mergeCell ref="A8:J8"/>
    <mergeCell ref="A9:J9"/>
    <mergeCell ref="A10:J10"/>
    <mergeCell ref="B11:F11"/>
    <mergeCell ref="G11:J11"/>
    <mergeCell ref="A19:C19"/>
    <mergeCell ref="D19:E19"/>
    <mergeCell ref="F19:J19"/>
    <mergeCell ref="A1:J1"/>
    <mergeCell ref="A2:J2"/>
    <mergeCell ref="B3:F3"/>
    <mergeCell ref="G3:H3"/>
    <mergeCell ref="I3:J3"/>
    <mergeCell ref="B12:F12"/>
    <mergeCell ref="G12:J12"/>
    <mergeCell ref="B13:F13"/>
    <mergeCell ref="G13:J13"/>
    <mergeCell ref="A4:C4"/>
    <mergeCell ref="D4:J4"/>
    <mergeCell ref="A5:C5"/>
    <mergeCell ref="D5:J5"/>
    <mergeCell ref="A6:C6"/>
    <mergeCell ref="D6:J6"/>
    <mergeCell ref="A7:C7"/>
    <mergeCell ref="D7:J7"/>
    <mergeCell ref="A15:J15"/>
    <mergeCell ref="A16:J16"/>
    <mergeCell ref="A17:J17"/>
    <mergeCell ref="A18:C18"/>
  </mergeCells>
  <conditionalFormatting sqref="G158:J158">
    <cfRule type="cellIs" dxfId="526" priority="3" operator="greaterThan">
      <formula>10361.1</formula>
    </cfRule>
    <cfRule type="cellIs" dxfId="525" priority="2" operator="greaterThan">
      <formula>10361.1</formula>
    </cfRule>
    <cfRule type="cellIs" dxfId="524" priority="1" operator="greaterThan">
      <formula>10361.1</formula>
    </cfRule>
  </conditionalFormatting>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CC4A0-BB93-4C79-AA6C-D84A350EA815}">
  <sheetPr>
    <tabColor theme="3" tint="0.59999389629810485"/>
  </sheetPr>
  <dimension ref="A1:O169"/>
  <sheetViews>
    <sheetView zoomScale="90" zoomScaleNormal="90" workbookViewId="0">
      <selection activeCell="A2" sqref="A2:J2"/>
    </sheetView>
  </sheetViews>
  <sheetFormatPr defaultColWidth="8.7265625" defaultRowHeight="14.5" x14ac:dyDescent="0.35"/>
  <cols>
    <col min="1" max="1" width="8.7265625" style="1"/>
    <col min="2" max="2" width="13.26953125" style="1" customWidth="1"/>
    <col min="3" max="3" width="13.453125" style="1" customWidth="1"/>
    <col min="4" max="4" width="12.54296875" style="1" customWidth="1"/>
    <col min="5" max="5" width="13.453125" style="1" customWidth="1"/>
    <col min="6" max="6" width="12.81640625" style="1" customWidth="1"/>
    <col min="7" max="7" width="8.7265625" style="1"/>
    <col min="8" max="8" width="11.54296875" style="1" bestFit="1" customWidth="1"/>
    <col min="9" max="9" width="13" style="1" bestFit="1" customWidth="1"/>
    <col min="10" max="10" width="9.81640625" style="1" bestFit="1" customWidth="1"/>
    <col min="11" max="11" width="8.7265625" style="1"/>
    <col min="12" max="12" width="10.453125" style="1" bestFit="1" customWidth="1"/>
    <col min="13" max="16384" width="8.7265625" style="1"/>
  </cols>
  <sheetData>
    <row r="1" spans="1:10" x14ac:dyDescent="0.35">
      <c r="A1" s="375" t="s">
        <v>0</v>
      </c>
      <c r="B1" s="375"/>
      <c r="C1" s="375"/>
      <c r="D1" s="375"/>
      <c r="E1" s="375"/>
      <c r="F1" s="375"/>
      <c r="G1" s="375"/>
      <c r="H1" s="375"/>
      <c r="I1" s="375"/>
      <c r="J1" s="375"/>
    </row>
    <row r="2" spans="1:10" x14ac:dyDescent="0.35">
      <c r="A2" s="375" t="s">
        <v>1</v>
      </c>
      <c r="B2" s="375"/>
      <c r="C2" s="375"/>
      <c r="D2" s="375"/>
      <c r="E2" s="375"/>
      <c r="F2" s="375"/>
      <c r="G2" s="375"/>
      <c r="H2" s="375"/>
      <c r="I2" s="375"/>
      <c r="J2" s="375"/>
    </row>
    <row r="3" spans="1:10" x14ac:dyDescent="0.35">
      <c r="A3" s="2"/>
      <c r="B3" s="342"/>
      <c r="C3" s="342"/>
      <c r="D3" s="342"/>
      <c r="E3" s="342"/>
      <c r="F3" s="342"/>
      <c r="G3" s="342"/>
      <c r="H3" s="342"/>
      <c r="I3" s="342"/>
      <c r="J3" s="342"/>
    </row>
    <row r="4" spans="1:10" x14ac:dyDescent="0.35">
      <c r="A4" s="440" t="s">
        <v>124</v>
      </c>
      <c r="B4" s="440"/>
      <c r="C4" s="440"/>
      <c r="D4" s="441" t="s">
        <v>171</v>
      </c>
      <c r="E4" s="441"/>
      <c r="F4" s="441"/>
      <c r="G4" s="441"/>
      <c r="H4" s="441"/>
      <c r="I4" s="441"/>
      <c r="J4" s="441"/>
    </row>
    <row r="5" spans="1:10" x14ac:dyDescent="0.35">
      <c r="A5" s="440" t="s">
        <v>168</v>
      </c>
      <c r="B5" s="442"/>
      <c r="C5" s="442"/>
      <c r="D5" s="441" t="s">
        <v>903</v>
      </c>
      <c r="E5" s="441"/>
      <c r="F5" s="441"/>
      <c r="G5" s="441"/>
      <c r="H5" s="441"/>
      <c r="I5" s="441"/>
      <c r="J5" s="441"/>
    </row>
    <row r="6" spans="1:10" x14ac:dyDescent="0.35">
      <c r="A6" s="440" t="s">
        <v>169</v>
      </c>
      <c r="B6" s="440"/>
      <c r="C6" s="440"/>
      <c r="D6" s="441">
        <f>Eletrotécnico!D6</f>
        <v>0</v>
      </c>
      <c r="E6" s="441"/>
      <c r="F6" s="441"/>
      <c r="G6" s="441"/>
      <c r="H6" s="441"/>
      <c r="I6" s="441"/>
      <c r="J6" s="441"/>
    </row>
    <row r="7" spans="1:10" x14ac:dyDescent="0.35">
      <c r="A7" s="440" t="s">
        <v>170</v>
      </c>
      <c r="B7" s="440"/>
      <c r="C7" s="440"/>
      <c r="D7" s="441">
        <f>Eletrotécnico!D7</f>
        <v>0</v>
      </c>
      <c r="E7" s="441"/>
      <c r="F7" s="441"/>
      <c r="G7" s="441"/>
      <c r="H7" s="441"/>
      <c r="I7" s="441"/>
      <c r="J7" s="441"/>
    </row>
    <row r="8" spans="1:10" x14ac:dyDescent="0.35">
      <c r="A8" s="376"/>
      <c r="B8" s="376"/>
      <c r="C8" s="376"/>
      <c r="D8" s="376"/>
      <c r="E8" s="376"/>
      <c r="F8" s="376"/>
      <c r="G8" s="376"/>
      <c r="H8" s="376"/>
      <c r="I8" s="376"/>
      <c r="J8" s="376"/>
    </row>
    <row r="9" spans="1:10" x14ac:dyDescent="0.35">
      <c r="A9" s="375" t="s">
        <v>2</v>
      </c>
      <c r="B9" s="375"/>
      <c r="C9" s="375"/>
      <c r="D9" s="375"/>
      <c r="E9" s="375"/>
      <c r="F9" s="375"/>
      <c r="G9" s="375"/>
      <c r="H9" s="375"/>
      <c r="I9" s="375"/>
      <c r="J9" s="375"/>
    </row>
    <row r="10" spans="1:10" x14ac:dyDescent="0.35">
      <c r="A10" s="422"/>
      <c r="B10" s="422"/>
      <c r="C10" s="422"/>
      <c r="D10" s="422"/>
      <c r="E10" s="422"/>
      <c r="F10" s="422"/>
      <c r="G10" s="422"/>
      <c r="H10" s="422"/>
      <c r="I10" s="422"/>
      <c r="J10" s="422"/>
    </row>
    <row r="11" spans="1:10" x14ac:dyDescent="0.35">
      <c r="A11" s="3" t="s">
        <v>3</v>
      </c>
      <c r="B11" s="436" t="s">
        <v>4</v>
      </c>
      <c r="C11" s="436"/>
      <c r="D11" s="436"/>
      <c r="E11" s="436"/>
      <c r="F11" s="436"/>
      <c r="G11" s="332"/>
      <c r="H11" s="332"/>
      <c r="I11" s="332"/>
      <c r="J11" s="332"/>
    </row>
    <row r="12" spans="1:10" x14ac:dyDescent="0.35">
      <c r="A12" s="3" t="s">
        <v>5</v>
      </c>
      <c r="B12" s="436" t="s">
        <v>6</v>
      </c>
      <c r="C12" s="436"/>
      <c r="D12" s="436"/>
      <c r="E12" s="436"/>
      <c r="F12" s="436"/>
      <c r="G12" s="332" t="s">
        <v>125</v>
      </c>
      <c r="H12" s="332"/>
      <c r="I12" s="332"/>
      <c r="J12" s="332"/>
    </row>
    <row r="13" spans="1:10" ht="14.5" customHeight="1" x14ac:dyDescent="0.35">
      <c r="A13" s="3" t="s">
        <v>7</v>
      </c>
      <c r="B13" s="436" t="s">
        <v>8</v>
      </c>
      <c r="C13" s="436"/>
      <c r="D13" s="436"/>
      <c r="E13" s="436"/>
      <c r="F13" s="436"/>
      <c r="G13" s="448" t="s">
        <v>166</v>
      </c>
      <c r="H13" s="449"/>
      <c r="I13" s="449"/>
      <c r="J13" s="450"/>
    </row>
    <row r="14" spans="1:10" x14ac:dyDescent="0.35">
      <c r="A14" s="3" t="s">
        <v>9</v>
      </c>
      <c r="B14" s="436" t="s">
        <v>10</v>
      </c>
      <c r="C14" s="436"/>
      <c r="D14" s="436"/>
      <c r="E14" s="436"/>
      <c r="F14" s="436"/>
      <c r="G14" s="332" t="s">
        <v>11</v>
      </c>
      <c r="H14" s="332"/>
      <c r="I14" s="332"/>
      <c r="J14" s="332"/>
    </row>
    <row r="15" spans="1:10" x14ac:dyDescent="0.35">
      <c r="A15" s="422"/>
      <c r="B15" s="422"/>
      <c r="C15" s="422"/>
      <c r="D15" s="422"/>
      <c r="E15" s="422"/>
      <c r="F15" s="422"/>
      <c r="G15" s="422"/>
      <c r="H15" s="422"/>
      <c r="I15" s="422"/>
      <c r="J15" s="422"/>
    </row>
    <row r="16" spans="1:10" x14ac:dyDescent="0.35">
      <c r="A16" s="375" t="s">
        <v>12</v>
      </c>
      <c r="B16" s="375"/>
      <c r="C16" s="375"/>
      <c r="D16" s="375"/>
      <c r="E16" s="375"/>
      <c r="F16" s="375"/>
      <c r="G16" s="375"/>
      <c r="H16" s="375"/>
      <c r="I16" s="375"/>
      <c r="J16" s="375"/>
    </row>
    <row r="17" spans="1:12" x14ac:dyDescent="0.35">
      <c r="A17" s="422"/>
      <c r="B17" s="422"/>
      <c r="C17" s="422"/>
      <c r="D17" s="422"/>
      <c r="E17" s="422"/>
      <c r="F17" s="422"/>
      <c r="G17" s="422"/>
      <c r="H17" s="422"/>
      <c r="I17" s="422"/>
      <c r="J17" s="422"/>
    </row>
    <row r="18" spans="1:12" x14ac:dyDescent="0.35">
      <c r="A18" s="424" t="s">
        <v>13</v>
      </c>
      <c r="B18" s="424"/>
      <c r="C18" s="424"/>
      <c r="D18" s="332" t="s">
        <v>14</v>
      </c>
      <c r="E18" s="332"/>
      <c r="F18" s="332" t="s">
        <v>15</v>
      </c>
      <c r="G18" s="332"/>
      <c r="H18" s="332"/>
      <c r="I18" s="332"/>
      <c r="J18" s="332"/>
    </row>
    <row r="19" spans="1:12" x14ac:dyDescent="0.35">
      <c r="A19" s="419" t="s">
        <v>157</v>
      </c>
      <c r="B19" s="419"/>
      <c r="C19" s="419"/>
      <c r="D19" s="444" t="s">
        <v>127</v>
      </c>
      <c r="E19" s="445"/>
      <c r="F19" s="446">
        <v>6</v>
      </c>
      <c r="G19" s="446"/>
      <c r="H19" s="446"/>
      <c r="I19" s="446"/>
      <c r="J19" s="446"/>
    </row>
    <row r="20" spans="1:12" x14ac:dyDescent="0.35">
      <c r="A20" s="422"/>
      <c r="B20" s="422"/>
      <c r="C20" s="422"/>
      <c r="D20" s="422"/>
      <c r="E20" s="422"/>
      <c r="F20" s="422"/>
      <c r="G20" s="422"/>
      <c r="H20" s="422"/>
      <c r="I20" s="422"/>
      <c r="J20" s="422"/>
    </row>
    <row r="21" spans="1:12" x14ac:dyDescent="0.35">
      <c r="A21" s="375" t="s">
        <v>16</v>
      </c>
      <c r="B21" s="375"/>
      <c r="C21" s="375"/>
      <c r="D21" s="375"/>
      <c r="E21" s="375"/>
      <c r="F21" s="375"/>
      <c r="G21" s="375"/>
      <c r="H21" s="375"/>
      <c r="I21" s="375"/>
      <c r="J21" s="375"/>
    </row>
    <row r="22" spans="1:12" x14ac:dyDescent="0.35">
      <c r="A22" s="392"/>
      <c r="B22" s="392"/>
      <c r="C22" s="392"/>
      <c r="D22" s="392"/>
      <c r="E22" s="392"/>
      <c r="F22" s="392"/>
      <c r="G22" s="392"/>
      <c r="H22" s="392"/>
      <c r="I22" s="392"/>
      <c r="J22" s="392"/>
    </row>
    <row r="23" spans="1:12" x14ac:dyDescent="0.35">
      <c r="A23" s="4" t="s">
        <v>17</v>
      </c>
      <c r="B23" s="335" t="s">
        <v>18</v>
      </c>
      <c r="C23" s="335"/>
      <c r="D23" s="335"/>
      <c r="E23" s="335"/>
      <c r="F23" s="335"/>
      <c r="G23" s="424" t="s">
        <v>157</v>
      </c>
      <c r="H23" s="424"/>
      <c r="I23" s="424"/>
      <c r="J23" s="424"/>
      <c r="L23" s="22"/>
    </row>
    <row r="24" spans="1:12" x14ac:dyDescent="0.35">
      <c r="A24" s="4" t="s">
        <v>19</v>
      </c>
      <c r="B24" s="335" t="s">
        <v>20</v>
      </c>
      <c r="C24" s="335"/>
      <c r="D24" s="335"/>
      <c r="E24" s="335"/>
      <c r="F24" s="335"/>
      <c r="G24" s="424" t="s">
        <v>155</v>
      </c>
      <c r="H24" s="424"/>
      <c r="I24" s="424"/>
      <c r="J24" s="424"/>
    </row>
    <row r="25" spans="1:12" x14ac:dyDescent="0.35">
      <c r="A25" s="4" t="s">
        <v>21</v>
      </c>
      <c r="B25" s="335" t="s">
        <v>22</v>
      </c>
      <c r="C25" s="335"/>
      <c r="D25" s="335"/>
      <c r="E25" s="335"/>
      <c r="F25" s="335"/>
      <c r="G25" s="426">
        <v>2730.79</v>
      </c>
      <c r="H25" s="426"/>
      <c r="I25" s="426"/>
      <c r="J25" s="426"/>
    </row>
    <row r="26" spans="1:12" x14ac:dyDescent="0.35">
      <c r="A26" s="4" t="s">
        <v>23</v>
      </c>
      <c r="B26" s="335" t="s">
        <v>24</v>
      </c>
      <c r="C26" s="335"/>
      <c r="D26" s="335"/>
      <c r="E26" s="335"/>
      <c r="F26" s="335"/>
      <c r="G26" s="424" t="s">
        <v>156</v>
      </c>
      <c r="H26" s="424"/>
      <c r="I26" s="424"/>
      <c r="J26" s="424"/>
    </row>
    <row r="27" spans="1:12" x14ac:dyDescent="0.35">
      <c r="A27" s="4" t="s">
        <v>25</v>
      </c>
      <c r="B27" s="335" t="s">
        <v>26</v>
      </c>
      <c r="C27" s="335"/>
      <c r="D27" s="335"/>
      <c r="E27" s="335"/>
      <c r="F27" s="335"/>
      <c r="G27" s="425">
        <v>45597</v>
      </c>
      <c r="H27" s="425"/>
      <c r="I27" s="425"/>
      <c r="J27" s="425"/>
    </row>
    <row r="28" spans="1:12" x14ac:dyDescent="0.35">
      <c r="A28" s="389"/>
      <c r="B28" s="389"/>
      <c r="C28" s="389"/>
      <c r="D28" s="389"/>
      <c r="E28" s="389"/>
      <c r="F28" s="389"/>
      <c r="G28" s="389"/>
      <c r="H28" s="389"/>
      <c r="I28" s="389"/>
      <c r="J28" s="389"/>
    </row>
    <row r="29" spans="1:12" x14ac:dyDescent="0.35">
      <c r="A29" s="375" t="s">
        <v>27</v>
      </c>
      <c r="B29" s="375"/>
      <c r="C29" s="375"/>
      <c r="D29" s="375"/>
      <c r="E29" s="375"/>
      <c r="F29" s="375"/>
      <c r="G29" s="375"/>
      <c r="H29" s="375"/>
      <c r="I29" s="375"/>
      <c r="J29" s="375"/>
    </row>
    <row r="30" spans="1:12" x14ac:dyDescent="0.35">
      <c r="A30" s="392"/>
      <c r="B30" s="392"/>
      <c r="C30" s="392"/>
      <c r="D30" s="392"/>
      <c r="E30" s="392"/>
      <c r="F30" s="392"/>
      <c r="G30" s="392"/>
      <c r="H30" s="392"/>
      <c r="I30" s="392"/>
      <c r="J30" s="392"/>
    </row>
    <row r="31" spans="1:12" x14ac:dyDescent="0.35">
      <c r="A31" s="5">
        <v>1</v>
      </c>
      <c r="B31" s="372" t="s">
        <v>28</v>
      </c>
      <c r="C31" s="372"/>
      <c r="D31" s="372"/>
      <c r="E31" s="372"/>
      <c r="F31" s="372"/>
      <c r="G31" s="423" t="s">
        <v>29</v>
      </c>
      <c r="H31" s="423"/>
      <c r="I31" s="423"/>
      <c r="J31" s="423"/>
    </row>
    <row r="32" spans="1:12" x14ac:dyDescent="0.35">
      <c r="A32" s="6" t="s">
        <v>3</v>
      </c>
      <c r="B32" s="365" t="s">
        <v>30</v>
      </c>
      <c r="C32" s="365"/>
      <c r="D32" s="365"/>
      <c r="E32" s="365"/>
      <c r="F32" s="365"/>
      <c r="G32" s="336">
        <f>G25</f>
        <v>2730.79</v>
      </c>
      <c r="H32" s="336"/>
      <c r="I32" s="336"/>
      <c r="J32" s="336"/>
    </row>
    <row r="33" spans="1:10" x14ac:dyDescent="0.35">
      <c r="A33" s="6" t="s">
        <v>5</v>
      </c>
      <c r="B33" s="365" t="s">
        <v>31</v>
      </c>
      <c r="C33" s="365"/>
      <c r="D33" s="365"/>
      <c r="E33" s="365"/>
      <c r="F33" s="365"/>
      <c r="G33" s="336">
        <f>G32*30%</f>
        <v>819.23699999999997</v>
      </c>
      <c r="H33" s="336"/>
      <c r="I33" s="336"/>
      <c r="J33" s="336"/>
    </row>
    <row r="34" spans="1:10" x14ac:dyDescent="0.35">
      <c r="A34" s="6" t="s">
        <v>7</v>
      </c>
      <c r="B34" s="435" t="s">
        <v>32</v>
      </c>
      <c r="C34" s="435"/>
      <c r="D34" s="435"/>
      <c r="E34" s="435"/>
      <c r="F34" s="435"/>
      <c r="G34" s="336">
        <v>0</v>
      </c>
      <c r="H34" s="336"/>
      <c r="I34" s="336"/>
      <c r="J34" s="336"/>
    </row>
    <row r="35" spans="1:10" x14ac:dyDescent="0.35">
      <c r="A35" s="372" t="s">
        <v>33</v>
      </c>
      <c r="B35" s="372"/>
      <c r="C35" s="372"/>
      <c r="D35" s="372"/>
      <c r="E35" s="372"/>
      <c r="F35" s="372"/>
      <c r="G35" s="333">
        <f>SUM(G32:J34)</f>
        <v>3550.027</v>
      </c>
      <c r="H35" s="333"/>
      <c r="I35" s="333"/>
      <c r="J35" s="333"/>
    </row>
    <row r="36" spans="1:10" x14ac:dyDescent="0.35">
      <c r="A36" s="389"/>
      <c r="B36" s="389"/>
      <c r="C36" s="389"/>
      <c r="D36" s="389"/>
      <c r="E36" s="389"/>
      <c r="F36" s="389"/>
      <c r="G36" s="389"/>
      <c r="H36" s="389"/>
      <c r="I36" s="389"/>
      <c r="J36" s="389"/>
    </row>
    <row r="37" spans="1:10" x14ac:dyDescent="0.35">
      <c r="A37" s="375" t="s">
        <v>34</v>
      </c>
      <c r="B37" s="375"/>
      <c r="C37" s="375"/>
      <c r="D37" s="375"/>
      <c r="E37" s="375"/>
      <c r="F37" s="375"/>
      <c r="G37" s="375"/>
      <c r="H37" s="375"/>
      <c r="I37" s="375"/>
      <c r="J37" s="375"/>
    </row>
    <row r="38" spans="1:10" x14ac:dyDescent="0.35">
      <c r="A38" s="376"/>
      <c r="B38" s="376"/>
      <c r="C38" s="376"/>
      <c r="D38" s="376"/>
      <c r="E38" s="376"/>
      <c r="F38" s="376"/>
      <c r="G38" s="376"/>
      <c r="H38" s="376"/>
      <c r="I38" s="376"/>
      <c r="J38" s="376"/>
    </row>
    <row r="39" spans="1:10" x14ac:dyDescent="0.35">
      <c r="A39" s="377" t="s">
        <v>35</v>
      </c>
      <c r="B39" s="377"/>
      <c r="C39" s="377"/>
      <c r="D39" s="377"/>
      <c r="E39" s="377"/>
      <c r="F39" s="377"/>
      <c r="G39" s="377"/>
      <c r="H39" s="377"/>
      <c r="I39" s="377"/>
      <c r="J39" s="377"/>
    </row>
    <row r="40" spans="1:10" x14ac:dyDescent="0.35">
      <c r="A40" s="427" t="s">
        <v>36</v>
      </c>
      <c r="B40" s="427"/>
      <c r="C40" s="427"/>
      <c r="D40" s="427"/>
      <c r="E40" s="427"/>
      <c r="F40" s="427"/>
      <c r="G40" s="428">
        <f>G35</f>
        <v>3550.027</v>
      </c>
      <c r="H40" s="428"/>
      <c r="I40" s="428"/>
      <c r="J40" s="428"/>
    </row>
    <row r="41" spans="1:10" x14ac:dyDescent="0.35">
      <c r="A41" s="392"/>
      <c r="B41" s="392"/>
      <c r="C41" s="392"/>
      <c r="D41" s="392"/>
      <c r="E41" s="392"/>
      <c r="F41" s="392"/>
      <c r="G41" s="392"/>
      <c r="H41" s="392"/>
      <c r="I41" s="392"/>
      <c r="J41" s="392"/>
    </row>
    <row r="42" spans="1:10" x14ac:dyDescent="0.35">
      <c r="A42" s="4" t="s">
        <v>37</v>
      </c>
      <c r="B42" s="332" t="s">
        <v>38</v>
      </c>
      <c r="C42" s="332"/>
      <c r="D42" s="332"/>
      <c r="E42" s="332"/>
      <c r="F42" s="332"/>
      <c r="G42" s="332" t="s">
        <v>39</v>
      </c>
      <c r="H42" s="332"/>
      <c r="I42" s="372" t="s">
        <v>29</v>
      </c>
      <c r="J42" s="372"/>
    </row>
    <row r="43" spans="1:10" x14ac:dyDescent="0.35">
      <c r="A43" s="7" t="s">
        <v>3</v>
      </c>
      <c r="B43" s="335" t="s">
        <v>40</v>
      </c>
      <c r="C43" s="335"/>
      <c r="D43" s="335"/>
      <c r="E43" s="335"/>
      <c r="F43" s="335"/>
      <c r="G43" s="411">
        <v>8.3299999999999999E-2</v>
      </c>
      <c r="H43" s="411"/>
      <c r="I43" s="421">
        <f>G40*G43</f>
        <v>295.7172491</v>
      </c>
      <c r="J43" s="421"/>
    </row>
    <row r="44" spans="1:10" x14ac:dyDescent="0.35">
      <c r="A44" s="7" t="s">
        <v>5</v>
      </c>
      <c r="B44" s="335" t="s">
        <v>41</v>
      </c>
      <c r="C44" s="335"/>
      <c r="D44" s="335"/>
      <c r="E44" s="335"/>
      <c r="F44" s="335"/>
      <c r="G44" s="373">
        <v>2.7799999999999998E-2</v>
      </c>
      <c r="H44" s="373"/>
      <c r="I44" s="421">
        <f>G40*G44</f>
        <v>98.690750600000001</v>
      </c>
      <c r="J44" s="421"/>
    </row>
    <row r="45" spans="1:10" x14ac:dyDescent="0.35">
      <c r="A45" s="332" t="s">
        <v>33</v>
      </c>
      <c r="B45" s="332"/>
      <c r="C45" s="332"/>
      <c r="D45" s="332"/>
      <c r="E45" s="332"/>
      <c r="F45" s="332"/>
      <c r="G45" s="411">
        <f>SUM(G43:H44)</f>
        <v>0.1111</v>
      </c>
      <c r="H45" s="419"/>
      <c r="I45" s="420">
        <f>SUM(I43:J44)</f>
        <v>394.4079997</v>
      </c>
      <c r="J45" s="420"/>
    </row>
    <row r="46" spans="1:10" x14ac:dyDescent="0.35">
      <c r="A46" s="342"/>
      <c r="B46" s="342"/>
      <c r="C46" s="342"/>
      <c r="D46" s="342"/>
      <c r="E46" s="342"/>
      <c r="F46" s="342"/>
      <c r="G46" s="342"/>
      <c r="H46" s="342"/>
      <c r="I46" s="342"/>
      <c r="J46" s="342"/>
    </row>
    <row r="47" spans="1:10" x14ac:dyDescent="0.35">
      <c r="A47" s="414" t="s">
        <v>42</v>
      </c>
      <c r="B47" s="414"/>
      <c r="C47" s="414"/>
      <c r="D47" s="414"/>
      <c r="E47" s="414"/>
      <c r="F47" s="414"/>
      <c r="G47" s="414"/>
      <c r="H47" s="414"/>
      <c r="I47" s="414"/>
      <c r="J47" s="414"/>
    </row>
    <row r="48" spans="1:10" x14ac:dyDescent="0.35">
      <c r="A48" s="378" t="s">
        <v>43</v>
      </c>
      <c r="B48" s="378"/>
      <c r="C48" s="378"/>
      <c r="D48" s="378"/>
      <c r="E48" s="378"/>
      <c r="F48" s="378"/>
      <c r="G48" s="415">
        <f>G35+I45</f>
        <v>3944.4349996999999</v>
      </c>
      <c r="H48" s="415"/>
      <c r="I48" s="415"/>
      <c r="J48" s="415"/>
    </row>
    <row r="49" spans="1:10" x14ac:dyDescent="0.35">
      <c r="A49" s="416"/>
      <c r="B49" s="416"/>
      <c r="C49" s="416"/>
      <c r="D49" s="416"/>
      <c r="E49" s="416"/>
      <c r="F49" s="416"/>
      <c r="G49" s="416"/>
      <c r="H49" s="416"/>
      <c r="I49" s="416"/>
      <c r="J49" s="416"/>
    </row>
    <row r="50" spans="1:10" x14ac:dyDescent="0.35">
      <c r="A50" s="8" t="s">
        <v>44</v>
      </c>
      <c r="B50" s="417" t="s">
        <v>45</v>
      </c>
      <c r="C50" s="417"/>
      <c r="D50" s="417"/>
      <c r="E50" s="417"/>
      <c r="F50" s="417"/>
      <c r="G50" s="371" t="s">
        <v>39</v>
      </c>
      <c r="H50" s="371"/>
      <c r="I50" s="418" t="s">
        <v>29</v>
      </c>
      <c r="J50" s="418"/>
    </row>
    <row r="51" spans="1:10" x14ac:dyDescent="0.35">
      <c r="A51" s="7" t="s">
        <v>3</v>
      </c>
      <c r="B51" s="335" t="s">
        <v>46</v>
      </c>
      <c r="C51" s="335"/>
      <c r="D51" s="335"/>
      <c r="E51" s="335"/>
      <c r="F51" s="335"/>
      <c r="G51" s="411">
        <f>Eletrotécnico!G52</f>
        <v>0.2</v>
      </c>
      <c r="H51" s="411"/>
      <c r="I51" s="340">
        <f>G48*G51</f>
        <v>788.88699994000001</v>
      </c>
      <c r="J51" s="340"/>
    </row>
    <row r="52" spans="1:10" x14ac:dyDescent="0.35">
      <c r="A52" s="7" t="s">
        <v>5</v>
      </c>
      <c r="B52" s="335" t="s">
        <v>47</v>
      </c>
      <c r="C52" s="335"/>
      <c r="D52" s="335"/>
      <c r="E52" s="335"/>
      <c r="F52" s="335"/>
      <c r="G52" s="411">
        <v>2.5000000000000001E-2</v>
      </c>
      <c r="H52" s="411"/>
      <c r="I52" s="340">
        <f>G48*G52</f>
        <v>98.610874992500001</v>
      </c>
      <c r="J52" s="340"/>
    </row>
    <row r="53" spans="1:10" x14ac:dyDescent="0.35">
      <c r="A53" s="7" t="s">
        <v>7</v>
      </c>
      <c r="B53" s="412" t="s">
        <v>48</v>
      </c>
      <c r="C53" s="412"/>
      <c r="D53" s="412"/>
      <c r="E53" s="412"/>
      <c r="F53" s="412"/>
      <c r="G53" s="413">
        <v>0.03</v>
      </c>
      <c r="H53" s="413"/>
      <c r="I53" s="340">
        <f>G48*G53</f>
        <v>118.333049991</v>
      </c>
      <c r="J53" s="340"/>
    </row>
    <row r="54" spans="1:10" x14ac:dyDescent="0.35">
      <c r="A54" s="7" t="s">
        <v>9</v>
      </c>
      <c r="B54" s="335" t="s">
        <v>49</v>
      </c>
      <c r="C54" s="335"/>
      <c r="D54" s="335"/>
      <c r="E54" s="335"/>
      <c r="F54" s="335"/>
      <c r="G54" s="411">
        <v>1.4999999999999999E-2</v>
      </c>
      <c r="H54" s="411"/>
      <c r="I54" s="340">
        <f>G48*G54</f>
        <v>59.166524995499998</v>
      </c>
      <c r="J54" s="340"/>
    </row>
    <row r="55" spans="1:10" x14ac:dyDescent="0.35">
      <c r="A55" s="7" t="s">
        <v>50</v>
      </c>
      <c r="B55" s="335" t="s">
        <v>51</v>
      </c>
      <c r="C55" s="335"/>
      <c r="D55" s="335"/>
      <c r="E55" s="335"/>
      <c r="F55" s="335"/>
      <c r="G55" s="411">
        <v>0.01</v>
      </c>
      <c r="H55" s="411"/>
      <c r="I55" s="340">
        <f>G48*G55</f>
        <v>39.444349997000003</v>
      </c>
      <c r="J55" s="340"/>
    </row>
    <row r="56" spans="1:10" x14ac:dyDescent="0.35">
      <c r="A56" s="7" t="s">
        <v>52</v>
      </c>
      <c r="B56" s="335" t="s">
        <v>53</v>
      </c>
      <c r="C56" s="335"/>
      <c r="D56" s="335"/>
      <c r="E56" s="335"/>
      <c r="F56" s="335"/>
      <c r="G56" s="411">
        <v>6.0000000000000001E-3</v>
      </c>
      <c r="H56" s="411"/>
      <c r="I56" s="340">
        <f>G48*G56</f>
        <v>23.666609998199998</v>
      </c>
      <c r="J56" s="340"/>
    </row>
    <row r="57" spans="1:10" x14ac:dyDescent="0.35">
      <c r="A57" s="7" t="s">
        <v>54</v>
      </c>
      <c r="B57" s="335" t="s">
        <v>55</v>
      </c>
      <c r="C57" s="335"/>
      <c r="D57" s="335"/>
      <c r="E57" s="335"/>
      <c r="F57" s="335"/>
      <c r="G57" s="411">
        <v>2E-3</v>
      </c>
      <c r="H57" s="411"/>
      <c r="I57" s="340">
        <f>G48*G57</f>
        <v>7.8888699993999998</v>
      </c>
      <c r="J57" s="340"/>
    </row>
    <row r="58" spans="1:10" x14ac:dyDescent="0.35">
      <c r="A58" s="7" t="s">
        <v>56</v>
      </c>
      <c r="B58" s="335" t="s">
        <v>57</v>
      </c>
      <c r="C58" s="335"/>
      <c r="D58" s="335"/>
      <c r="E58" s="335"/>
      <c r="F58" s="335"/>
      <c r="G58" s="411">
        <v>0.08</v>
      </c>
      <c r="H58" s="411"/>
      <c r="I58" s="340">
        <f>G48*G58</f>
        <v>315.55479997600003</v>
      </c>
      <c r="J58" s="340"/>
    </row>
    <row r="59" spans="1:10" x14ac:dyDescent="0.35">
      <c r="A59" s="332" t="s">
        <v>58</v>
      </c>
      <c r="B59" s="332"/>
      <c r="C59" s="332"/>
      <c r="D59" s="332"/>
      <c r="E59" s="332"/>
      <c r="F59" s="332"/>
      <c r="G59" s="410">
        <f>SUM(G51:H58)</f>
        <v>0.36800000000000005</v>
      </c>
      <c r="H59" s="332"/>
      <c r="I59" s="341">
        <f>SUM(I51:J58)</f>
        <v>1451.5520798896</v>
      </c>
      <c r="J59" s="341"/>
    </row>
    <row r="60" spans="1:10" x14ac:dyDescent="0.35">
      <c r="A60" s="389"/>
      <c r="B60" s="389"/>
      <c r="C60" s="389"/>
      <c r="D60" s="389"/>
      <c r="E60" s="389"/>
      <c r="F60" s="389"/>
      <c r="G60" s="389"/>
      <c r="H60" s="389"/>
      <c r="I60" s="389"/>
      <c r="J60" s="389"/>
    </row>
    <row r="61" spans="1:10" x14ac:dyDescent="0.35">
      <c r="A61" s="377" t="s">
        <v>59</v>
      </c>
      <c r="B61" s="377"/>
      <c r="C61" s="377"/>
      <c r="D61" s="377"/>
      <c r="E61" s="377"/>
      <c r="F61" s="377"/>
      <c r="G61" s="377"/>
      <c r="H61" s="377"/>
      <c r="I61" s="377"/>
      <c r="J61" s="377"/>
    </row>
    <row r="62" spans="1:10" x14ac:dyDescent="0.35">
      <c r="A62" s="392"/>
      <c r="B62" s="392"/>
      <c r="C62" s="392"/>
      <c r="D62" s="392"/>
      <c r="E62" s="392"/>
      <c r="F62" s="392"/>
      <c r="G62" s="392"/>
      <c r="H62" s="392"/>
      <c r="I62" s="392"/>
      <c r="J62" s="392"/>
    </row>
    <row r="63" spans="1:10" ht="14.5" customHeight="1" x14ac:dyDescent="0.35">
      <c r="A63" s="9" t="s">
        <v>60</v>
      </c>
      <c r="B63" s="292" t="s">
        <v>61</v>
      </c>
      <c r="C63" s="292"/>
      <c r="D63" s="292"/>
      <c r="E63" s="292"/>
      <c r="F63" s="292"/>
      <c r="G63" s="406" t="s">
        <v>62</v>
      </c>
      <c r="H63" s="407"/>
      <c r="I63" s="298" t="s">
        <v>29</v>
      </c>
      <c r="J63" s="300"/>
    </row>
    <row r="64" spans="1:10" x14ac:dyDescent="0.35">
      <c r="A64" s="10" t="s">
        <v>3</v>
      </c>
      <c r="B64" s="293" t="s">
        <v>63</v>
      </c>
      <c r="C64" s="293"/>
      <c r="D64" s="293"/>
      <c r="E64" s="293"/>
      <c r="F64" s="293"/>
      <c r="G64" s="404">
        <v>0.06</v>
      </c>
      <c r="H64" s="405"/>
      <c r="I64" s="455">
        <f>IF((2*4.9*21)-(G64*G32)&lt;0,0,(2*4.9*21)-(G64*G32))</f>
        <v>41.952600000000018</v>
      </c>
      <c r="J64" s="456"/>
    </row>
    <row r="65" spans="1:15" x14ac:dyDescent="0.35">
      <c r="A65" s="10" t="s">
        <v>5</v>
      </c>
      <c r="B65" s="293" t="s">
        <v>64</v>
      </c>
      <c r="C65" s="293"/>
      <c r="D65" s="293"/>
      <c r="E65" s="293"/>
      <c r="F65" s="293"/>
      <c r="G65" s="451" t="s">
        <v>66</v>
      </c>
      <c r="H65" s="452"/>
      <c r="I65" s="454">
        <f>SUM(I66:J67)</f>
        <v>676.68000000000006</v>
      </c>
      <c r="J65" s="454"/>
    </row>
    <row r="66" spans="1:15" x14ac:dyDescent="0.35">
      <c r="A66" s="18" t="s">
        <v>159</v>
      </c>
      <c r="B66" s="310" t="s">
        <v>158</v>
      </c>
      <c r="C66" s="310"/>
      <c r="D66" s="310"/>
      <c r="E66" s="310"/>
      <c r="F66" s="310"/>
      <c r="G66" s="459">
        <v>3.18</v>
      </c>
      <c r="H66" s="460"/>
      <c r="I66" s="453">
        <f>(26.66*21)-G66</f>
        <v>556.68000000000006</v>
      </c>
      <c r="J66" s="453"/>
    </row>
    <row r="67" spans="1:15" x14ac:dyDescent="0.35">
      <c r="A67" s="18" t="s">
        <v>160</v>
      </c>
      <c r="B67" s="310" t="s">
        <v>161</v>
      </c>
      <c r="C67" s="310"/>
      <c r="D67" s="310"/>
      <c r="E67" s="310"/>
      <c r="F67" s="310"/>
      <c r="G67" s="451" t="s">
        <v>66</v>
      </c>
      <c r="H67" s="452"/>
      <c r="I67" s="453">
        <v>120</v>
      </c>
      <c r="J67" s="453"/>
    </row>
    <row r="68" spans="1:15" x14ac:dyDescent="0.35">
      <c r="A68" s="10" t="s">
        <v>7</v>
      </c>
      <c r="B68" s="293" t="s">
        <v>162</v>
      </c>
      <c r="C68" s="293"/>
      <c r="D68" s="293"/>
      <c r="E68" s="293"/>
      <c r="F68" s="293"/>
      <c r="G68" s="393" t="s">
        <v>66</v>
      </c>
      <c r="H68" s="394"/>
      <c r="I68" s="454">
        <f>(I69*G69)+(I70*G70)</f>
        <v>129.08144000000001</v>
      </c>
      <c r="J68" s="454"/>
    </row>
    <row r="69" spans="1:15" x14ac:dyDescent="0.35">
      <c r="A69" s="18" t="s">
        <v>115</v>
      </c>
      <c r="B69" s="310" t="s">
        <v>178</v>
      </c>
      <c r="C69" s="310"/>
      <c r="D69" s="310"/>
      <c r="E69" s="310"/>
      <c r="F69" s="310"/>
      <c r="G69" s="404">
        <v>0.53700000000000003</v>
      </c>
      <c r="H69" s="405"/>
      <c r="I69" s="453">
        <v>111.08</v>
      </c>
      <c r="J69" s="453"/>
    </row>
    <row r="70" spans="1:15" x14ac:dyDescent="0.35">
      <c r="A70" s="18" t="s">
        <v>116</v>
      </c>
      <c r="B70" s="310" t="s">
        <v>179</v>
      </c>
      <c r="C70" s="310"/>
      <c r="D70" s="310"/>
      <c r="E70" s="310"/>
      <c r="F70" s="310"/>
      <c r="G70" s="404">
        <v>0.46300000000000002</v>
      </c>
      <c r="H70" s="405"/>
      <c r="I70" s="453">
        <v>149.96</v>
      </c>
      <c r="J70" s="453"/>
    </row>
    <row r="71" spans="1:15" x14ac:dyDescent="0.35">
      <c r="A71" s="10" t="s">
        <v>9</v>
      </c>
      <c r="B71" s="293" t="s">
        <v>163</v>
      </c>
      <c r="C71" s="293"/>
      <c r="D71" s="293"/>
      <c r="E71" s="293"/>
      <c r="F71" s="293"/>
      <c r="G71" s="393" t="s">
        <v>66</v>
      </c>
      <c r="H71" s="394"/>
      <c r="I71" s="454">
        <v>14</v>
      </c>
      <c r="J71" s="454"/>
    </row>
    <row r="72" spans="1:15" x14ac:dyDescent="0.35">
      <c r="A72" s="10" t="s">
        <v>50</v>
      </c>
      <c r="B72" s="293" t="s">
        <v>67</v>
      </c>
      <c r="C72" s="293"/>
      <c r="D72" s="293"/>
      <c r="E72" s="293"/>
      <c r="F72" s="293"/>
      <c r="G72" s="393" t="s">
        <v>66</v>
      </c>
      <c r="H72" s="394"/>
      <c r="I72" s="454">
        <v>12.72</v>
      </c>
      <c r="J72" s="454"/>
      <c r="M72" s="23"/>
      <c r="N72"/>
      <c r="O72"/>
    </row>
    <row r="73" spans="1:15" x14ac:dyDescent="0.35">
      <c r="A73" s="10" t="s">
        <v>52</v>
      </c>
      <c r="B73" s="335" t="s">
        <v>32</v>
      </c>
      <c r="C73" s="335"/>
      <c r="D73" s="335"/>
      <c r="E73" s="335"/>
      <c r="F73" s="335"/>
      <c r="G73" s="393" t="s">
        <v>66</v>
      </c>
      <c r="H73" s="394"/>
      <c r="I73" s="457">
        <v>0</v>
      </c>
      <c r="J73" s="457"/>
      <c r="M73"/>
      <c r="N73"/>
      <c r="O73"/>
    </row>
    <row r="74" spans="1:15" x14ac:dyDescent="0.35">
      <c r="A74" s="395" t="s">
        <v>33</v>
      </c>
      <c r="B74" s="396"/>
      <c r="C74" s="396"/>
      <c r="D74" s="396"/>
      <c r="E74" s="396"/>
      <c r="F74" s="396"/>
      <c r="G74" s="396"/>
      <c r="H74" s="397"/>
      <c r="I74" s="458">
        <f>SUM(I64,I65,I68,I71,I72,I73)</f>
        <v>874.43404000000021</v>
      </c>
      <c r="J74" s="458"/>
    </row>
    <row r="75" spans="1:15" x14ac:dyDescent="0.35">
      <c r="A75" s="398"/>
      <c r="B75" s="398"/>
      <c r="C75" s="398"/>
      <c r="D75" s="398"/>
      <c r="E75" s="398"/>
      <c r="F75" s="398"/>
      <c r="G75" s="398"/>
      <c r="H75" s="398"/>
      <c r="I75" s="398"/>
      <c r="J75" s="398"/>
    </row>
    <row r="76" spans="1:15" x14ac:dyDescent="0.35">
      <c r="A76" s="377" t="s">
        <v>69</v>
      </c>
      <c r="B76" s="377"/>
      <c r="C76" s="377"/>
      <c r="D76" s="377"/>
      <c r="E76" s="377"/>
      <c r="F76" s="377"/>
      <c r="G76" s="377"/>
      <c r="H76" s="377"/>
      <c r="I76" s="377"/>
      <c r="J76" s="377"/>
    </row>
    <row r="77" spans="1:15" x14ac:dyDescent="0.35">
      <c r="A77" s="392"/>
      <c r="B77" s="392"/>
      <c r="C77" s="392"/>
      <c r="D77" s="392"/>
      <c r="E77" s="392"/>
      <c r="F77" s="392"/>
      <c r="G77" s="392"/>
      <c r="H77" s="392"/>
      <c r="I77" s="392"/>
      <c r="J77" s="392"/>
    </row>
    <row r="78" spans="1:15" x14ac:dyDescent="0.35">
      <c r="A78" s="4">
        <v>2</v>
      </c>
      <c r="B78" s="332" t="s">
        <v>70</v>
      </c>
      <c r="C78" s="332"/>
      <c r="D78" s="332"/>
      <c r="E78" s="332"/>
      <c r="F78" s="332"/>
      <c r="G78" s="332" t="s">
        <v>29</v>
      </c>
      <c r="H78" s="332"/>
      <c r="I78" s="332"/>
      <c r="J78" s="332"/>
    </row>
    <row r="79" spans="1:15" x14ac:dyDescent="0.35">
      <c r="A79" s="7" t="s">
        <v>37</v>
      </c>
      <c r="B79" s="335" t="s">
        <v>38</v>
      </c>
      <c r="C79" s="335"/>
      <c r="D79" s="335"/>
      <c r="E79" s="335"/>
      <c r="F79" s="335"/>
      <c r="G79" s="336">
        <f>I45</f>
        <v>394.4079997</v>
      </c>
      <c r="H79" s="336"/>
      <c r="I79" s="336"/>
      <c r="J79" s="336"/>
    </row>
    <row r="80" spans="1:15" x14ac:dyDescent="0.35">
      <c r="A80" s="7" t="s">
        <v>44</v>
      </c>
      <c r="B80" s="335" t="s">
        <v>45</v>
      </c>
      <c r="C80" s="335"/>
      <c r="D80" s="335"/>
      <c r="E80" s="335"/>
      <c r="F80" s="335"/>
      <c r="G80" s="336">
        <f>I59</f>
        <v>1451.5520798896</v>
      </c>
      <c r="H80" s="336"/>
      <c r="I80" s="336"/>
      <c r="J80" s="336"/>
    </row>
    <row r="81" spans="1:12" x14ac:dyDescent="0.35">
      <c r="A81" s="7" t="s">
        <v>60</v>
      </c>
      <c r="B81" s="335" t="s">
        <v>61</v>
      </c>
      <c r="C81" s="335"/>
      <c r="D81" s="335"/>
      <c r="E81" s="335"/>
      <c r="F81" s="335"/>
      <c r="G81" s="336">
        <f>I74</f>
        <v>874.43404000000021</v>
      </c>
      <c r="H81" s="336"/>
      <c r="I81" s="336"/>
      <c r="J81" s="336"/>
    </row>
    <row r="82" spans="1:12" x14ac:dyDescent="0.35">
      <c r="A82" s="332" t="s">
        <v>33</v>
      </c>
      <c r="B82" s="332"/>
      <c r="C82" s="332"/>
      <c r="D82" s="332"/>
      <c r="E82" s="332"/>
      <c r="F82" s="332"/>
      <c r="G82" s="333">
        <f>SUM(G79:J81)</f>
        <v>2720.3941195896</v>
      </c>
      <c r="H82" s="333"/>
      <c r="I82" s="333"/>
      <c r="J82" s="333"/>
    </row>
    <row r="83" spans="1:12" x14ac:dyDescent="0.35">
      <c r="A83" s="389"/>
      <c r="B83" s="389"/>
      <c r="C83" s="389"/>
      <c r="D83" s="389"/>
      <c r="E83" s="389"/>
      <c r="F83" s="389"/>
      <c r="G83" s="389"/>
      <c r="H83" s="389"/>
      <c r="I83" s="389"/>
      <c r="J83" s="389"/>
    </row>
    <row r="84" spans="1:12" x14ac:dyDescent="0.35">
      <c r="A84" s="376"/>
      <c r="B84" s="376"/>
      <c r="C84" s="376"/>
      <c r="D84" s="376"/>
      <c r="E84" s="376"/>
      <c r="F84" s="376"/>
      <c r="G84" s="376"/>
      <c r="H84" s="376"/>
      <c r="I84" s="376"/>
      <c r="J84" s="376"/>
    </row>
    <row r="85" spans="1:12" x14ac:dyDescent="0.35">
      <c r="A85" s="375" t="s">
        <v>71</v>
      </c>
      <c r="B85" s="375"/>
      <c r="C85" s="375"/>
      <c r="D85" s="375"/>
      <c r="E85" s="375"/>
      <c r="F85" s="375"/>
      <c r="G85" s="375"/>
      <c r="H85" s="375"/>
      <c r="I85" s="375"/>
      <c r="J85" s="375"/>
    </row>
    <row r="86" spans="1:12" x14ac:dyDescent="0.35">
      <c r="A86" s="378" t="s">
        <v>72</v>
      </c>
      <c r="B86" s="378"/>
      <c r="C86" s="378"/>
      <c r="D86" s="378"/>
      <c r="E86" s="378"/>
      <c r="F86" s="378"/>
      <c r="G86" s="390">
        <f>G35</f>
        <v>3550.027</v>
      </c>
      <c r="H86" s="390"/>
      <c r="I86" s="390"/>
      <c r="J86" s="390"/>
    </row>
    <row r="87" spans="1:12" x14ac:dyDescent="0.35">
      <c r="A87" s="391"/>
      <c r="B87" s="391"/>
      <c r="C87" s="391"/>
      <c r="D87" s="391"/>
      <c r="E87" s="391"/>
      <c r="F87" s="391"/>
      <c r="G87" s="391"/>
      <c r="H87" s="391"/>
      <c r="I87" s="391"/>
      <c r="J87" s="391"/>
    </row>
    <row r="88" spans="1:12" x14ac:dyDescent="0.35">
      <c r="A88" s="5">
        <v>3</v>
      </c>
      <c r="B88" s="372" t="s">
        <v>73</v>
      </c>
      <c r="C88" s="372"/>
      <c r="D88" s="372"/>
      <c r="E88" s="372"/>
      <c r="F88" s="372"/>
      <c r="G88" s="387" t="s">
        <v>39</v>
      </c>
      <c r="H88" s="387"/>
      <c r="I88" s="372" t="s">
        <v>29</v>
      </c>
      <c r="J88" s="372"/>
    </row>
    <row r="89" spans="1:12" x14ac:dyDescent="0.35">
      <c r="A89" s="6" t="s">
        <v>3</v>
      </c>
      <c r="B89" s="380" t="s">
        <v>74</v>
      </c>
      <c r="C89" s="380"/>
      <c r="D89" s="380"/>
      <c r="E89" s="380"/>
      <c r="F89" s="380"/>
      <c r="G89" s="25">
        <v>0.05</v>
      </c>
      <c r="H89" s="11">
        <f>(1/12)*G89</f>
        <v>4.1666666666666666E-3</v>
      </c>
      <c r="I89" s="340">
        <f>G86*H89</f>
        <v>14.791779166666666</v>
      </c>
      <c r="J89" s="340"/>
    </row>
    <row r="90" spans="1:12" x14ac:dyDescent="0.35">
      <c r="A90" s="6" t="s">
        <v>5</v>
      </c>
      <c r="B90" s="380" t="s">
        <v>75</v>
      </c>
      <c r="C90" s="380"/>
      <c r="D90" s="380"/>
      <c r="E90" s="380"/>
      <c r="F90" s="380"/>
      <c r="G90" s="373">
        <f>H89*0.08</f>
        <v>3.3333333333333332E-4</v>
      </c>
      <c r="H90" s="373"/>
      <c r="I90" s="388">
        <f>G86*G90</f>
        <v>1.1833423333333333</v>
      </c>
      <c r="J90" s="388"/>
    </row>
    <row r="91" spans="1:12" x14ac:dyDescent="0.35">
      <c r="A91" s="6" t="s">
        <v>7</v>
      </c>
      <c r="B91" s="380" t="s">
        <v>76</v>
      </c>
      <c r="C91" s="380"/>
      <c r="D91" s="380"/>
      <c r="E91" s="380"/>
      <c r="F91" s="380"/>
      <c r="G91" s="25">
        <v>0.9</v>
      </c>
      <c r="H91" s="11">
        <f>(1+2/12+(1/3*1/12))*0.08*0.4*G91</f>
        <v>3.4400000000000007E-2</v>
      </c>
      <c r="I91" s="385">
        <f>G86*H91</f>
        <v>122.12092880000003</v>
      </c>
      <c r="J91" s="386"/>
    </row>
    <row r="92" spans="1:12" x14ac:dyDescent="0.35">
      <c r="A92" s="6" t="s">
        <v>9</v>
      </c>
      <c r="B92" s="380" t="s">
        <v>77</v>
      </c>
      <c r="C92" s="380"/>
      <c r="D92" s="380"/>
      <c r="E92" s="380"/>
      <c r="F92" s="380"/>
      <c r="G92" s="373">
        <f>((7/30) + (7/30*0.1))/ 24</f>
        <v>1.0694444444444444E-2</v>
      </c>
      <c r="H92" s="373"/>
      <c r="I92" s="385">
        <f>G86*G92</f>
        <v>37.965566527777774</v>
      </c>
      <c r="J92" s="386"/>
      <c r="L92" s="12"/>
    </row>
    <row r="93" spans="1:12" x14ac:dyDescent="0.35">
      <c r="A93" s="6" t="s">
        <v>50</v>
      </c>
      <c r="B93" s="380" t="s">
        <v>78</v>
      </c>
      <c r="C93" s="380"/>
      <c r="D93" s="380"/>
      <c r="E93" s="380"/>
      <c r="F93" s="380"/>
      <c r="G93" s="373">
        <f>G92*G59</f>
        <v>3.9355555555555559E-3</v>
      </c>
      <c r="H93" s="373"/>
      <c r="I93" s="385">
        <f>G86*G93</f>
        <v>13.971328482222223</v>
      </c>
      <c r="J93" s="386"/>
    </row>
    <row r="94" spans="1:12" x14ac:dyDescent="0.35">
      <c r="A94" s="6" t="s">
        <v>52</v>
      </c>
      <c r="B94" s="380" t="s">
        <v>79</v>
      </c>
      <c r="C94" s="380"/>
      <c r="D94" s="380"/>
      <c r="E94" s="380"/>
      <c r="F94" s="380"/>
      <c r="G94" s="381">
        <f>G92*0.08*0.4</f>
        <v>3.4222222222222228E-4</v>
      </c>
      <c r="H94" s="381"/>
      <c r="I94" s="382">
        <f>G86*G94</f>
        <v>1.2148981288888892</v>
      </c>
      <c r="J94" s="383"/>
    </row>
    <row r="95" spans="1:12" x14ac:dyDescent="0.35">
      <c r="A95" s="372" t="s">
        <v>33</v>
      </c>
      <c r="B95" s="372"/>
      <c r="C95" s="372"/>
      <c r="D95" s="372"/>
      <c r="E95" s="372"/>
      <c r="F95" s="372"/>
      <c r="G95" s="384">
        <f>SUM(H89,G90,H91,G92,G93,G94)</f>
        <v>5.3872222222222224E-2</v>
      </c>
      <c r="H95" s="384"/>
      <c r="I95" s="341">
        <f>SUM(I89:J94)</f>
        <v>191.24784343888891</v>
      </c>
      <c r="J95" s="341"/>
    </row>
    <row r="96" spans="1:12" x14ac:dyDescent="0.35">
      <c r="A96" s="374"/>
      <c r="B96" s="374"/>
      <c r="C96" s="374"/>
      <c r="D96" s="374"/>
      <c r="E96" s="374"/>
      <c r="F96" s="374"/>
      <c r="G96" s="374"/>
      <c r="H96" s="374"/>
      <c r="I96" s="374"/>
      <c r="J96" s="374"/>
    </row>
    <row r="97" spans="1:10" x14ac:dyDescent="0.35">
      <c r="A97" s="375" t="s">
        <v>80</v>
      </c>
      <c r="B97" s="375"/>
      <c r="C97" s="375"/>
      <c r="D97" s="375"/>
      <c r="E97" s="375"/>
      <c r="F97" s="375"/>
      <c r="G97" s="375"/>
      <c r="H97" s="375"/>
      <c r="I97" s="375"/>
      <c r="J97" s="375"/>
    </row>
    <row r="98" spans="1:10" x14ac:dyDescent="0.35">
      <c r="A98" s="376"/>
      <c r="B98" s="376"/>
      <c r="C98" s="376"/>
      <c r="D98" s="376"/>
      <c r="E98" s="376"/>
      <c r="F98" s="376"/>
      <c r="G98" s="376"/>
      <c r="H98" s="376"/>
      <c r="I98" s="376"/>
      <c r="J98" s="376"/>
    </row>
    <row r="99" spans="1:10" x14ac:dyDescent="0.35">
      <c r="A99" s="377" t="s">
        <v>81</v>
      </c>
      <c r="B99" s="377"/>
      <c r="C99" s="377"/>
      <c r="D99" s="377"/>
      <c r="E99" s="377"/>
      <c r="F99" s="377"/>
      <c r="G99" s="377"/>
      <c r="H99" s="377"/>
      <c r="I99" s="377"/>
      <c r="J99" s="377"/>
    </row>
    <row r="100" spans="1:10" x14ac:dyDescent="0.35">
      <c r="A100" s="378" t="s">
        <v>82</v>
      </c>
      <c r="B100" s="378"/>
      <c r="C100" s="378"/>
      <c r="D100" s="378"/>
      <c r="E100" s="378"/>
      <c r="F100" s="378"/>
      <c r="G100" s="379">
        <f>G35</f>
        <v>3550.027</v>
      </c>
      <c r="H100" s="379"/>
      <c r="I100" s="379"/>
      <c r="J100" s="379"/>
    </row>
    <row r="101" spans="1:10" x14ac:dyDescent="0.35">
      <c r="A101" s="370"/>
      <c r="B101" s="370"/>
      <c r="C101" s="370"/>
      <c r="D101" s="370"/>
      <c r="E101" s="370"/>
      <c r="F101" s="370"/>
      <c r="G101" s="370"/>
      <c r="H101" s="370"/>
      <c r="I101" s="370"/>
      <c r="J101" s="370"/>
    </row>
    <row r="102" spans="1:10" x14ac:dyDescent="0.35">
      <c r="A102" s="13" t="s">
        <v>83</v>
      </c>
      <c r="B102" s="371" t="s">
        <v>84</v>
      </c>
      <c r="C102" s="371"/>
      <c r="D102" s="371"/>
      <c r="E102" s="371"/>
      <c r="F102" s="371"/>
      <c r="G102" s="372" t="s">
        <v>85</v>
      </c>
      <c r="H102" s="372"/>
      <c r="I102" s="332" t="s">
        <v>29</v>
      </c>
      <c r="J102" s="332"/>
    </row>
    <row r="103" spans="1:10" x14ac:dyDescent="0.35">
      <c r="A103" s="7" t="s">
        <v>3</v>
      </c>
      <c r="B103" s="335" t="s">
        <v>86</v>
      </c>
      <c r="C103" s="335"/>
      <c r="D103" s="335"/>
      <c r="E103" s="335"/>
      <c r="F103" s="335"/>
      <c r="G103" s="373">
        <f>1/12</f>
        <v>8.3333333333333329E-2</v>
      </c>
      <c r="H103" s="373"/>
      <c r="I103" s="336">
        <f>G103*G100</f>
        <v>295.83558333333332</v>
      </c>
      <c r="J103" s="336"/>
    </row>
    <row r="104" spans="1:10" x14ac:dyDescent="0.35">
      <c r="A104" s="6" t="s">
        <v>5</v>
      </c>
      <c r="B104" s="365" t="s">
        <v>87</v>
      </c>
      <c r="C104" s="365"/>
      <c r="D104" s="365"/>
      <c r="E104" s="365"/>
      <c r="F104" s="365"/>
      <c r="G104" s="366">
        <f>(1/30)/12</f>
        <v>2.7777777777777779E-3</v>
      </c>
      <c r="H104" s="366"/>
      <c r="I104" s="336">
        <f>G100*G104</f>
        <v>9.8611861111111114</v>
      </c>
      <c r="J104" s="336"/>
    </row>
    <row r="105" spans="1:10" x14ac:dyDescent="0.35">
      <c r="A105" s="6" t="s">
        <v>7</v>
      </c>
      <c r="B105" s="365" t="s">
        <v>88</v>
      </c>
      <c r="C105" s="365"/>
      <c r="D105" s="365"/>
      <c r="E105" s="365"/>
      <c r="F105" s="365"/>
      <c r="G105" s="366">
        <f>(5/30)/12*0.015</f>
        <v>2.0833333333333332E-4</v>
      </c>
      <c r="H105" s="366"/>
      <c r="I105" s="336">
        <f>G100*G105</f>
        <v>0.73958895833333327</v>
      </c>
      <c r="J105" s="336"/>
    </row>
    <row r="106" spans="1:10" x14ac:dyDescent="0.35">
      <c r="A106" s="6" t="s">
        <v>9</v>
      </c>
      <c r="B106" s="365" t="s">
        <v>89</v>
      </c>
      <c r="C106" s="365"/>
      <c r="D106" s="365"/>
      <c r="E106" s="365"/>
      <c r="F106" s="365"/>
      <c r="G106" s="366">
        <f>1/12*0.0078</f>
        <v>6.4999999999999997E-4</v>
      </c>
      <c r="H106" s="366"/>
      <c r="I106" s="336">
        <f>G100*G106</f>
        <v>2.30751755</v>
      </c>
      <c r="J106" s="336"/>
    </row>
    <row r="107" spans="1:10" x14ac:dyDescent="0.35">
      <c r="A107" s="6" t="s">
        <v>50</v>
      </c>
      <c r="B107" s="365" t="s">
        <v>90</v>
      </c>
      <c r="C107" s="365"/>
      <c r="D107" s="365"/>
      <c r="E107" s="365"/>
      <c r="F107" s="365"/>
      <c r="G107" s="366">
        <f>((1/12)+(1/3*1/12))*0.02607*6/12</f>
        <v>1.4483333333333334E-3</v>
      </c>
      <c r="H107" s="366"/>
      <c r="I107" s="336">
        <f>G100*G107</f>
        <v>5.1416224383333331</v>
      </c>
      <c r="J107" s="336"/>
    </row>
    <row r="108" spans="1:10" x14ac:dyDescent="0.35">
      <c r="A108" s="6" t="s">
        <v>52</v>
      </c>
      <c r="B108" s="365" t="s">
        <v>91</v>
      </c>
      <c r="C108" s="365"/>
      <c r="D108" s="365"/>
      <c r="E108" s="365"/>
      <c r="F108" s="365"/>
      <c r="G108" s="366">
        <f>(5/30/12)</f>
        <v>1.3888888888888888E-2</v>
      </c>
      <c r="H108" s="366"/>
      <c r="I108" s="336">
        <f>G100*G108</f>
        <v>49.305930555555555</v>
      </c>
      <c r="J108" s="336"/>
    </row>
    <row r="109" spans="1:10" x14ac:dyDescent="0.35">
      <c r="A109" s="367" t="s">
        <v>92</v>
      </c>
      <c r="B109" s="367"/>
      <c r="C109" s="367"/>
      <c r="D109" s="367"/>
      <c r="E109" s="367"/>
      <c r="F109" s="367"/>
      <c r="G109" s="368">
        <f>SUM(G103:H108)</f>
        <v>0.10230666666666666</v>
      </c>
      <c r="H109" s="368"/>
      <c r="I109" s="369">
        <f>SUM(I103:J108)</f>
        <v>363.19142894666669</v>
      </c>
      <c r="J109" s="369"/>
    </row>
    <row r="110" spans="1:10" x14ac:dyDescent="0.35">
      <c r="A110" s="14" t="s">
        <v>54</v>
      </c>
      <c r="B110" s="352" t="s">
        <v>93</v>
      </c>
      <c r="C110" s="352"/>
      <c r="D110" s="352"/>
      <c r="E110" s="352"/>
      <c r="F110" s="353"/>
      <c r="G110" s="347">
        <f>(G109-G107)*(2/12+(1/3*1/12))</f>
        <v>1.961134259259259E-2</v>
      </c>
      <c r="H110" s="353"/>
      <c r="I110" s="349">
        <f>G100*G110</f>
        <v>69.620795709953697</v>
      </c>
      <c r="J110" s="350"/>
    </row>
    <row r="111" spans="1:10" x14ac:dyDescent="0.35">
      <c r="A111" s="358" t="s">
        <v>94</v>
      </c>
      <c r="B111" s="359"/>
      <c r="C111" s="359"/>
      <c r="D111" s="359"/>
      <c r="E111" s="359"/>
      <c r="F111" s="360"/>
      <c r="G111" s="361">
        <f>SUM(G109:H110)</f>
        <v>0.12191800925925925</v>
      </c>
      <c r="H111" s="362"/>
      <c r="I111" s="363">
        <f>SUM(I109:J110)</f>
        <v>432.8122246566204</v>
      </c>
      <c r="J111" s="364"/>
    </row>
    <row r="112" spans="1:10" x14ac:dyDescent="0.35">
      <c r="A112" s="14" t="s">
        <v>56</v>
      </c>
      <c r="B112" s="345" t="s">
        <v>95</v>
      </c>
      <c r="C112" s="345"/>
      <c r="D112" s="345"/>
      <c r="E112" s="345"/>
      <c r="F112" s="346"/>
      <c r="G112" s="347">
        <f>G111*G59</f>
        <v>4.486582740740741E-2</v>
      </c>
      <c r="H112" s="348"/>
      <c r="I112" s="349">
        <f>G100*G112</f>
        <v>159.2748986736363</v>
      </c>
      <c r="J112" s="350"/>
    </row>
    <row r="113" spans="1:10" x14ac:dyDescent="0.35">
      <c r="A113" s="351" t="s">
        <v>33</v>
      </c>
      <c r="B113" s="352"/>
      <c r="C113" s="352"/>
      <c r="D113" s="352"/>
      <c r="E113" s="352"/>
      <c r="F113" s="353"/>
      <c r="G113" s="354">
        <f>SUM(G111:H112)</f>
        <v>0.16678383666666666</v>
      </c>
      <c r="H113" s="355"/>
      <c r="I113" s="356">
        <f>G100*G113</f>
        <v>592.08712333025665</v>
      </c>
      <c r="J113" s="357"/>
    </row>
    <row r="114" spans="1:10" x14ac:dyDescent="0.35">
      <c r="A114" s="2"/>
      <c r="B114" s="342"/>
      <c r="C114" s="342"/>
      <c r="D114" s="342"/>
      <c r="E114" s="342"/>
      <c r="F114" s="342"/>
      <c r="G114" s="342"/>
      <c r="H114" s="342"/>
      <c r="I114" s="342"/>
      <c r="J114" s="342"/>
    </row>
    <row r="115" spans="1:10" x14ac:dyDescent="0.35">
      <c r="A115" s="338" t="s">
        <v>96</v>
      </c>
      <c r="B115" s="338"/>
      <c r="C115" s="338"/>
      <c r="D115" s="338"/>
      <c r="E115" s="338"/>
      <c r="F115" s="338"/>
      <c r="G115" s="338"/>
      <c r="H115" s="338"/>
      <c r="I115" s="338"/>
      <c r="J115" s="338"/>
    </row>
    <row r="116" spans="1:10" x14ac:dyDescent="0.35">
      <c r="A116" s="343"/>
      <c r="B116" s="343"/>
      <c r="C116" s="343"/>
      <c r="D116" s="343"/>
      <c r="E116" s="343"/>
      <c r="F116" s="343"/>
      <c r="G116" s="344"/>
      <c r="H116" s="344"/>
      <c r="I116" s="344"/>
      <c r="J116" s="344"/>
    </row>
    <row r="117" spans="1:10" x14ac:dyDescent="0.35">
      <c r="A117" s="4" t="s">
        <v>97</v>
      </c>
      <c r="B117" s="332" t="s">
        <v>98</v>
      </c>
      <c r="C117" s="332"/>
      <c r="D117" s="332"/>
      <c r="E117" s="332"/>
      <c r="F117" s="332"/>
      <c r="G117" s="332" t="s">
        <v>29</v>
      </c>
      <c r="H117" s="332"/>
      <c r="I117" s="332"/>
      <c r="J117" s="332"/>
    </row>
    <row r="118" spans="1:10" x14ac:dyDescent="0.35">
      <c r="A118" s="7" t="s">
        <v>3</v>
      </c>
      <c r="B118" s="335" t="s">
        <v>99</v>
      </c>
      <c r="C118" s="335"/>
      <c r="D118" s="335"/>
      <c r="E118" s="335"/>
      <c r="F118" s="335"/>
      <c r="G118" s="340">
        <v>0</v>
      </c>
      <c r="H118" s="340"/>
      <c r="I118" s="340"/>
      <c r="J118" s="340"/>
    </row>
    <row r="119" spans="1:10" x14ac:dyDescent="0.35">
      <c r="A119" s="332" t="s">
        <v>33</v>
      </c>
      <c r="B119" s="332"/>
      <c r="C119" s="332"/>
      <c r="D119" s="332"/>
      <c r="E119" s="332"/>
      <c r="F119" s="332"/>
      <c r="G119" s="341">
        <f>SUM(G118)</f>
        <v>0</v>
      </c>
      <c r="H119" s="341"/>
      <c r="I119" s="341"/>
      <c r="J119" s="341"/>
    </row>
    <row r="120" spans="1:10" x14ac:dyDescent="0.35">
      <c r="A120" s="15"/>
      <c r="B120" s="334"/>
      <c r="C120" s="334"/>
      <c r="D120" s="334"/>
      <c r="E120" s="334"/>
      <c r="F120" s="334"/>
      <c r="G120" s="334"/>
      <c r="H120" s="334"/>
      <c r="I120" s="334"/>
      <c r="J120" s="334"/>
    </row>
    <row r="121" spans="1:10" x14ac:dyDescent="0.35">
      <c r="A121" s="338" t="s">
        <v>100</v>
      </c>
      <c r="B121" s="338"/>
      <c r="C121" s="338"/>
      <c r="D121" s="338"/>
      <c r="E121" s="338"/>
      <c r="F121" s="338"/>
      <c r="G121" s="338"/>
      <c r="H121" s="338"/>
      <c r="I121" s="338"/>
      <c r="J121" s="338"/>
    </row>
    <row r="122" spans="1:10" x14ac:dyDescent="0.35">
      <c r="A122" s="15"/>
      <c r="B122" s="334"/>
      <c r="C122" s="334"/>
      <c r="D122" s="334"/>
      <c r="E122" s="334"/>
      <c r="F122" s="334"/>
      <c r="G122" s="339"/>
      <c r="H122" s="339"/>
      <c r="I122" s="339"/>
      <c r="J122" s="339"/>
    </row>
    <row r="123" spans="1:10" x14ac:dyDescent="0.35">
      <c r="A123" s="4">
        <v>4</v>
      </c>
      <c r="B123" s="332" t="s">
        <v>101</v>
      </c>
      <c r="C123" s="332"/>
      <c r="D123" s="332"/>
      <c r="E123" s="332"/>
      <c r="F123" s="332"/>
      <c r="G123" s="332" t="s">
        <v>29</v>
      </c>
      <c r="H123" s="332"/>
      <c r="I123" s="332"/>
      <c r="J123" s="332"/>
    </row>
    <row r="124" spans="1:10" x14ac:dyDescent="0.35">
      <c r="A124" s="7" t="s">
        <v>83</v>
      </c>
      <c r="B124" s="335" t="s">
        <v>102</v>
      </c>
      <c r="C124" s="335"/>
      <c r="D124" s="335"/>
      <c r="E124" s="335"/>
      <c r="F124" s="335"/>
      <c r="G124" s="336">
        <f>I113</f>
        <v>592.08712333025665</v>
      </c>
      <c r="H124" s="336"/>
      <c r="I124" s="336"/>
      <c r="J124" s="336"/>
    </row>
    <row r="125" spans="1:10" x14ac:dyDescent="0.35">
      <c r="A125" s="7" t="s">
        <v>97</v>
      </c>
      <c r="B125" s="337" t="s">
        <v>103</v>
      </c>
      <c r="C125" s="337"/>
      <c r="D125" s="337"/>
      <c r="E125" s="337"/>
      <c r="F125" s="337"/>
      <c r="G125" s="336">
        <f>G119</f>
        <v>0</v>
      </c>
      <c r="H125" s="336"/>
      <c r="I125" s="336"/>
      <c r="J125" s="336"/>
    </row>
    <row r="126" spans="1:10" x14ac:dyDescent="0.35">
      <c r="A126" s="332" t="s">
        <v>33</v>
      </c>
      <c r="B126" s="332"/>
      <c r="C126" s="332"/>
      <c r="D126" s="332"/>
      <c r="E126" s="332"/>
      <c r="F126" s="332"/>
      <c r="G126" s="333">
        <f>SUM(G124:J125)</f>
        <v>592.08712333025665</v>
      </c>
      <c r="H126" s="333"/>
      <c r="I126" s="333"/>
      <c r="J126" s="333"/>
    </row>
    <row r="127" spans="1:10" x14ac:dyDescent="0.35">
      <c r="A127" s="15"/>
      <c r="B127" s="334"/>
      <c r="C127" s="334"/>
      <c r="D127" s="334"/>
      <c r="E127" s="334"/>
      <c r="F127" s="334"/>
      <c r="G127" s="334"/>
      <c r="H127" s="334"/>
      <c r="I127" s="334"/>
      <c r="J127" s="334"/>
    </row>
    <row r="128" spans="1:10" x14ac:dyDescent="0.35">
      <c r="A128" s="15"/>
      <c r="B128" s="334"/>
      <c r="C128" s="334"/>
      <c r="D128" s="334"/>
      <c r="E128" s="334"/>
      <c r="F128" s="334"/>
      <c r="G128" s="334"/>
      <c r="H128" s="334"/>
      <c r="I128" s="334"/>
      <c r="J128" s="334"/>
    </row>
    <row r="129" spans="1:10" x14ac:dyDescent="0.35">
      <c r="A129" s="324" t="s">
        <v>104</v>
      </c>
      <c r="B129" s="324"/>
      <c r="C129" s="324"/>
      <c r="D129" s="324"/>
      <c r="E129" s="324"/>
      <c r="F129" s="324"/>
      <c r="G129" s="324"/>
      <c r="H129" s="324"/>
      <c r="I129" s="324"/>
      <c r="J129" s="324"/>
    </row>
    <row r="130" spans="1:10" x14ac:dyDescent="0.35">
      <c r="A130" s="16"/>
      <c r="B130" s="331"/>
      <c r="C130" s="331"/>
      <c r="D130" s="331"/>
      <c r="E130" s="331"/>
      <c r="F130" s="331"/>
      <c r="G130" s="331"/>
      <c r="H130" s="331"/>
      <c r="I130" s="331"/>
      <c r="J130" s="331"/>
    </row>
    <row r="131" spans="1:10" x14ac:dyDescent="0.35">
      <c r="A131" s="9">
        <v>5</v>
      </c>
      <c r="B131" s="317" t="s">
        <v>105</v>
      </c>
      <c r="C131" s="317"/>
      <c r="D131" s="317"/>
      <c r="E131" s="317"/>
      <c r="F131" s="317"/>
      <c r="G131" s="292" t="s">
        <v>29</v>
      </c>
      <c r="H131" s="292"/>
      <c r="I131" s="292"/>
      <c r="J131" s="292"/>
    </row>
    <row r="132" spans="1:10" x14ac:dyDescent="0.35">
      <c r="A132" s="10" t="s">
        <v>3</v>
      </c>
      <c r="B132" s="293" t="s">
        <v>106</v>
      </c>
      <c r="C132" s="293"/>
      <c r="D132" s="293"/>
      <c r="E132" s="293"/>
      <c r="F132" s="293"/>
      <c r="G132" s="294">
        <f>Insumos!G7</f>
        <v>50.609583333333326</v>
      </c>
      <c r="H132" s="294"/>
      <c r="I132" s="294"/>
      <c r="J132" s="294"/>
    </row>
    <row r="133" spans="1:10" ht="14.5" customHeight="1" x14ac:dyDescent="0.35">
      <c r="A133" s="10" t="s">
        <v>5</v>
      </c>
      <c r="B133" s="325" t="s">
        <v>369</v>
      </c>
      <c r="C133" s="326"/>
      <c r="D133" s="326"/>
      <c r="E133" s="326"/>
      <c r="F133" s="327"/>
      <c r="G133" s="328">
        <f>Insumos!G26</f>
        <v>18.604125000000003</v>
      </c>
      <c r="H133" s="329"/>
      <c r="I133" s="329"/>
      <c r="J133" s="330"/>
    </row>
    <row r="134" spans="1:10" ht="14.5" customHeight="1" x14ac:dyDescent="0.35">
      <c r="A134" s="10" t="s">
        <v>7</v>
      </c>
      <c r="B134" s="325" t="s">
        <v>367</v>
      </c>
      <c r="C134" s="326"/>
      <c r="D134" s="326"/>
      <c r="E134" s="326"/>
      <c r="F134" s="327"/>
      <c r="G134" s="328">
        <f>Insumos!G34</f>
        <v>10</v>
      </c>
      <c r="H134" s="329"/>
      <c r="I134" s="329"/>
      <c r="J134" s="330"/>
    </row>
    <row r="135" spans="1:10" ht="14.5" customHeight="1" x14ac:dyDescent="0.35">
      <c r="A135" s="10" t="s">
        <v>9</v>
      </c>
      <c r="B135" s="325" t="s">
        <v>368</v>
      </c>
      <c r="C135" s="326"/>
      <c r="D135" s="326"/>
      <c r="E135" s="326"/>
      <c r="F135" s="327"/>
      <c r="G135" s="328">
        <f>Insumos!H191</f>
        <v>66.102322500000014</v>
      </c>
      <c r="H135" s="329"/>
      <c r="I135" s="329"/>
      <c r="J135" s="330"/>
    </row>
    <row r="136" spans="1:10" x14ac:dyDescent="0.35">
      <c r="A136" s="292" t="s">
        <v>58</v>
      </c>
      <c r="B136" s="292"/>
      <c r="C136" s="292"/>
      <c r="D136" s="292"/>
      <c r="E136" s="292"/>
      <c r="F136" s="292"/>
      <c r="G136" s="304">
        <f>SUM(G132:J135)</f>
        <v>145.31603083333334</v>
      </c>
      <c r="H136" s="304"/>
      <c r="I136" s="304"/>
      <c r="J136" s="304"/>
    </row>
    <row r="137" spans="1:10" x14ac:dyDescent="0.35">
      <c r="A137" s="17"/>
      <c r="B137" s="323"/>
      <c r="C137" s="323"/>
      <c r="D137" s="323"/>
      <c r="E137" s="323"/>
      <c r="F137" s="323"/>
      <c r="G137" s="323"/>
      <c r="H137" s="323"/>
      <c r="I137" s="323"/>
      <c r="J137" s="323"/>
    </row>
    <row r="138" spans="1:10" x14ac:dyDescent="0.35">
      <c r="A138" s="324" t="s">
        <v>107</v>
      </c>
      <c r="B138" s="324"/>
      <c r="C138" s="324"/>
      <c r="D138" s="324"/>
      <c r="E138" s="324"/>
      <c r="F138" s="324"/>
      <c r="G138" s="324"/>
      <c r="H138" s="324"/>
      <c r="I138" s="324"/>
      <c r="J138" s="324"/>
    </row>
    <row r="139" spans="1:10" x14ac:dyDescent="0.35">
      <c r="A139" s="319" t="s">
        <v>108</v>
      </c>
      <c r="B139" s="319"/>
      <c r="C139" s="319"/>
      <c r="D139" s="319"/>
      <c r="E139" s="319"/>
      <c r="F139" s="319"/>
      <c r="G139" s="320">
        <f>G35+G82+I95+G126+G136</f>
        <v>7199.0721171920795</v>
      </c>
      <c r="H139" s="321"/>
      <c r="I139" s="321"/>
      <c r="J139" s="321"/>
    </row>
    <row r="140" spans="1:10" x14ac:dyDescent="0.35">
      <c r="A140" s="319" t="s">
        <v>109</v>
      </c>
      <c r="B140" s="319"/>
      <c r="C140" s="319"/>
      <c r="D140" s="319"/>
      <c r="E140" s="319"/>
      <c r="F140" s="319"/>
      <c r="G140" s="320">
        <f>G139+I143</f>
        <v>7479.1160225508511</v>
      </c>
      <c r="H140" s="321"/>
      <c r="I140" s="321"/>
      <c r="J140" s="321"/>
    </row>
    <row r="141" spans="1:10" x14ac:dyDescent="0.35">
      <c r="A141" s="319" t="s">
        <v>110</v>
      </c>
      <c r="B141" s="319"/>
      <c r="C141" s="319"/>
      <c r="D141" s="319"/>
      <c r="E141" s="319"/>
      <c r="F141" s="319"/>
      <c r="G141" s="322">
        <f>(G140+I144)/(1-G145)</f>
        <v>8526.2741388992417</v>
      </c>
      <c r="H141" s="322"/>
      <c r="I141" s="322"/>
      <c r="J141" s="322"/>
    </row>
    <row r="142" spans="1:10" x14ac:dyDescent="0.35">
      <c r="A142" s="9">
        <v>6</v>
      </c>
      <c r="B142" s="317" t="s">
        <v>111</v>
      </c>
      <c r="C142" s="317"/>
      <c r="D142" s="317"/>
      <c r="E142" s="317"/>
      <c r="F142" s="317"/>
      <c r="G142" s="318" t="s">
        <v>39</v>
      </c>
      <c r="H142" s="318"/>
      <c r="I142" s="318" t="s">
        <v>29</v>
      </c>
      <c r="J142" s="318"/>
    </row>
    <row r="143" spans="1:10" x14ac:dyDescent="0.35">
      <c r="A143" s="10" t="s">
        <v>3</v>
      </c>
      <c r="B143" s="293" t="s">
        <v>112</v>
      </c>
      <c r="C143" s="293"/>
      <c r="D143" s="293"/>
      <c r="E143" s="293"/>
      <c r="F143" s="293"/>
      <c r="G143" s="313">
        <v>3.8899999999999997E-2</v>
      </c>
      <c r="H143" s="313"/>
      <c r="I143" s="312">
        <f>G139*G143</f>
        <v>280.04390535877189</v>
      </c>
      <c r="J143" s="293"/>
    </row>
    <row r="144" spans="1:10" x14ac:dyDescent="0.35">
      <c r="A144" s="10" t="s">
        <v>5</v>
      </c>
      <c r="B144" s="293" t="s">
        <v>113</v>
      </c>
      <c r="C144" s="293"/>
      <c r="D144" s="293"/>
      <c r="E144" s="293"/>
      <c r="F144" s="293"/>
      <c r="G144" s="313">
        <v>4.1399999999999999E-2</v>
      </c>
      <c r="H144" s="313"/>
      <c r="I144" s="312">
        <f>G140*G144</f>
        <v>309.63540333360521</v>
      </c>
      <c r="J144" s="293"/>
    </row>
    <row r="145" spans="1:10" x14ac:dyDescent="0.35">
      <c r="A145" s="10" t="s">
        <v>7</v>
      </c>
      <c r="B145" s="293" t="s">
        <v>114</v>
      </c>
      <c r="C145" s="293"/>
      <c r="D145" s="293"/>
      <c r="E145" s="293"/>
      <c r="F145" s="293"/>
      <c r="G145" s="314">
        <f>SUM(G146:H149)</f>
        <v>8.6499999999999994E-2</v>
      </c>
      <c r="H145" s="314"/>
      <c r="I145" s="315">
        <f>G141*G145</f>
        <v>737.52271301478436</v>
      </c>
      <c r="J145" s="316"/>
    </row>
    <row r="146" spans="1:10" x14ac:dyDescent="0.35">
      <c r="A146" s="18" t="s">
        <v>115</v>
      </c>
      <c r="B146" s="310" t="s">
        <v>371</v>
      </c>
      <c r="C146" s="310"/>
      <c r="D146" s="310"/>
      <c r="E146" s="310"/>
      <c r="F146" s="310"/>
      <c r="G146" s="447">
        <f>Eletrotécnico!G143</f>
        <v>0.03</v>
      </c>
      <c r="H146" s="447"/>
      <c r="I146" s="309">
        <f>G141*G146</f>
        <v>255.78822416697724</v>
      </c>
      <c r="J146" s="310"/>
    </row>
    <row r="147" spans="1:10" x14ac:dyDescent="0.35">
      <c r="A147" s="18" t="s">
        <v>116</v>
      </c>
      <c r="B147" s="310" t="s">
        <v>372</v>
      </c>
      <c r="C147" s="310"/>
      <c r="D147" s="310"/>
      <c r="E147" s="310"/>
      <c r="F147" s="310"/>
      <c r="G147" s="447">
        <f>Eletrotécnico!G144</f>
        <v>6.4999999999999997E-3</v>
      </c>
      <c r="H147" s="447"/>
      <c r="I147" s="309">
        <f>G141*G147</f>
        <v>55.420781902845071</v>
      </c>
      <c r="J147" s="310"/>
    </row>
    <row r="148" spans="1:10" x14ac:dyDescent="0.35">
      <c r="A148" s="18" t="s">
        <v>117</v>
      </c>
      <c r="B148" s="310" t="s">
        <v>118</v>
      </c>
      <c r="C148" s="310"/>
      <c r="D148" s="310"/>
      <c r="E148" s="310"/>
      <c r="F148" s="310"/>
      <c r="G148" s="447">
        <f>Eletrotécnico!G145</f>
        <v>0.05</v>
      </c>
      <c r="H148" s="447"/>
      <c r="I148" s="309">
        <f>G140*G148</f>
        <v>373.9558011275426</v>
      </c>
      <c r="J148" s="310"/>
    </row>
    <row r="149" spans="1:10" ht="14.5" customHeight="1" x14ac:dyDescent="0.35">
      <c r="A149" s="18" t="s">
        <v>165</v>
      </c>
      <c r="B149" s="310" t="s">
        <v>164</v>
      </c>
      <c r="C149" s="310"/>
      <c r="D149" s="310"/>
      <c r="E149" s="310"/>
      <c r="F149" s="310"/>
      <c r="G149" s="447">
        <f>Eletrotécnico!G146</f>
        <v>0</v>
      </c>
      <c r="H149" s="447"/>
      <c r="I149" s="309">
        <f>G141*G149</f>
        <v>0</v>
      </c>
      <c r="J149" s="310"/>
    </row>
    <row r="150" spans="1:10" x14ac:dyDescent="0.35">
      <c r="A150" s="292" t="s">
        <v>58</v>
      </c>
      <c r="B150" s="292"/>
      <c r="C150" s="292"/>
      <c r="D150" s="292"/>
      <c r="E150" s="292"/>
      <c r="F150" s="292"/>
      <c r="G150" s="311"/>
      <c r="H150" s="311"/>
      <c r="I150" s="312">
        <f>SUM(I143:J145)</f>
        <v>1327.2020217071615</v>
      </c>
      <c r="J150" s="293"/>
    </row>
    <row r="151" spans="1:10" x14ac:dyDescent="0.35">
      <c r="A151" s="19"/>
      <c r="B151" s="295"/>
      <c r="C151" s="295"/>
      <c r="D151" s="295"/>
      <c r="E151" s="295"/>
      <c r="F151" s="295"/>
      <c r="G151" s="295"/>
      <c r="H151" s="295"/>
      <c r="I151" s="295"/>
      <c r="J151" s="295"/>
    </row>
    <row r="152" spans="1:10" x14ac:dyDescent="0.35">
      <c r="A152" s="296" t="s">
        <v>119</v>
      </c>
      <c r="B152" s="296"/>
      <c r="C152" s="296"/>
      <c r="D152" s="296"/>
      <c r="E152" s="296"/>
      <c r="F152" s="296"/>
      <c r="G152" s="296"/>
      <c r="H152" s="296"/>
      <c r="I152" s="296"/>
      <c r="J152" s="296"/>
    </row>
    <row r="153" spans="1:10" x14ac:dyDescent="0.35">
      <c r="A153" s="20"/>
      <c r="B153" s="297"/>
      <c r="C153" s="297"/>
      <c r="D153" s="297"/>
      <c r="E153" s="297"/>
      <c r="F153" s="297"/>
      <c r="G153" s="297"/>
      <c r="H153" s="297"/>
      <c r="I153" s="297"/>
      <c r="J153" s="297"/>
    </row>
    <row r="154" spans="1:10" x14ac:dyDescent="0.35">
      <c r="A154" s="9"/>
      <c r="B154" s="292" t="s">
        <v>120</v>
      </c>
      <c r="C154" s="292"/>
      <c r="D154" s="292"/>
      <c r="E154" s="292"/>
      <c r="F154" s="292"/>
      <c r="G154" s="292" t="s">
        <v>29</v>
      </c>
      <c r="H154" s="292"/>
      <c r="I154" s="292"/>
      <c r="J154" s="292"/>
    </row>
    <row r="155" spans="1:10" x14ac:dyDescent="0.35">
      <c r="A155" s="9" t="s">
        <v>3</v>
      </c>
      <c r="B155" s="293" t="s">
        <v>27</v>
      </c>
      <c r="C155" s="293"/>
      <c r="D155" s="293"/>
      <c r="E155" s="293"/>
      <c r="F155" s="293"/>
      <c r="G155" s="294">
        <f>G35</f>
        <v>3550.027</v>
      </c>
      <c r="H155" s="294"/>
      <c r="I155" s="294"/>
      <c r="J155" s="294"/>
    </row>
    <row r="156" spans="1:10" x14ac:dyDescent="0.35">
      <c r="A156" s="9" t="s">
        <v>5</v>
      </c>
      <c r="B156" s="293" t="s">
        <v>34</v>
      </c>
      <c r="C156" s="293"/>
      <c r="D156" s="293"/>
      <c r="E156" s="293"/>
      <c r="F156" s="293"/>
      <c r="G156" s="294">
        <f>G82</f>
        <v>2720.3941195896</v>
      </c>
      <c r="H156" s="294"/>
      <c r="I156" s="294"/>
      <c r="J156" s="294"/>
    </row>
    <row r="157" spans="1:10" x14ac:dyDescent="0.35">
      <c r="A157" s="9" t="s">
        <v>7</v>
      </c>
      <c r="B157" s="293" t="s">
        <v>71</v>
      </c>
      <c r="C157" s="293"/>
      <c r="D157" s="293"/>
      <c r="E157" s="293"/>
      <c r="F157" s="293"/>
      <c r="G157" s="294">
        <f>I95</f>
        <v>191.24784343888891</v>
      </c>
      <c r="H157" s="294"/>
      <c r="I157" s="294"/>
      <c r="J157" s="294"/>
    </row>
    <row r="158" spans="1:10" x14ac:dyDescent="0.35">
      <c r="A158" s="9" t="s">
        <v>9</v>
      </c>
      <c r="B158" s="293" t="s">
        <v>80</v>
      </c>
      <c r="C158" s="293"/>
      <c r="D158" s="293"/>
      <c r="E158" s="293"/>
      <c r="F158" s="293"/>
      <c r="G158" s="294">
        <f>G126</f>
        <v>592.08712333025665</v>
      </c>
      <c r="H158" s="294"/>
      <c r="I158" s="294"/>
      <c r="J158" s="294"/>
    </row>
    <row r="159" spans="1:10" x14ac:dyDescent="0.35">
      <c r="A159" s="9" t="s">
        <v>50</v>
      </c>
      <c r="B159" s="293" t="s">
        <v>104</v>
      </c>
      <c r="C159" s="293"/>
      <c r="D159" s="293"/>
      <c r="E159" s="293"/>
      <c r="F159" s="293"/>
      <c r="G159" s="294">
        <f>G136</f>
        <v>145.31603083333334</v>
      </c>
      <c r="H159" s="294"/>
      <c r="I159" s="294"/>
      <c r="J159" s="294"/>
    </row>
    <row r="160" spans="1:10" x14ac:dyDescent="0.35">
      <c r="A160" s="292" t="s">
        <v>121</v>
      </c>
      <c r="B160" s="292"/>
      <c r="C160" s="292"/>
      <c r="D160" s="292"/>
      <c r="E160" s="292"/>
      <c r="F160" s="292"/>
      <c r="G160" s="304">
        <f>SUM(G155:J159)</f>
        <v>7199.0721171920795</v>
      </c>
      <c r="H160" s="304"/>
      <c r="I160" s="304"/>
      <c r="J160" s="304"/>
    </row>
    <row r="161" spans="1:10" x14ac:dyDescent="0.35">
      <c r="A161" s="9" t="s">
        <v>52</v>
      </c>
      <c r="B161" s="293" t="s">
        <v>122</v>
      </c>
      <c r="C161" s="293"/>
      <c r="D161" s="293"/>
      <c r="E161" s="293"/>
      <c r="F161" s="293"/>
      <c r="G161" s="294">
        <f>I150</f>
        <v>1327.2020217071615</v>
      </c>
      <c r="H161" s="294"/>
      <c r="I161" s="294"/>
      <c r="J161" s="294"/>
    </row>
    <row r="162" spans="1:10" x14ac:dyDescent="0.35">
      <c r="A162" s="292" t="s">
        <v>123</v>
      </c>
      <c r="B162" s="292"/>
      <c r="C162" s="292"/>
      <c r="D162" s="292"/>
      <c r="E162" s="292"/>
      <c r="F162" s="292"/>
      <c r="G162" s="304">
        <f>SUM(G160:J161)</f>
        <v>8526.2741388992417</v>
      </c>
      <c r="H162" s="304"/>
      <c r="I162" s="304"/>
      <c r="J162" s="304"/>
    </row>
    <row r="163" spans="1:10" ht="14.5" customHeight="1" x14ac:dyDescent="0.35">
      <c r="A163" s="298" t="s">
        <v>152</v>
      </c>
      <c r="B163" s="299"/>
      <c r="C163" s="299"/>
      <c r="D163" s="299"/>
      <c r="E163" s="299"/>
      <c r="F163" s="300"/>
      <c r="G163" s="305">
        <v>1</v>
      </c>
      <c r="H163" s="306"/>
      <c r="I163" s="306"/>
      <c r="J163" s="307"/>
    </row>
    <row r="164" spans="1:10" x14ac:dyDescent="0.35">
      <c r="A164" s="298" t="s">
        <v>151</v>
      </c>
      <c r="B164" s="299"/>
      <c r="C164" s="299"/>
      <c r="D164" s="299"/>
      <c r="E164" s="299"/>
      <c r="F164" s="300"/>
      <c r="G164" s="301">
        <f>G162*G163</f>
        <v>8526.2741388992417</v>
      </c>
      <c r="H164" s="302"/>
      <c r="I164" s="302"/>
      <c r="J164" s="303"/>
    </row>
    <row r="169" spans="1:10" x14ac:dyDescent="0.35">
      <c r="J169" s="21"/>
    </row>
  </sheetData>
  <sheetProtection algorithmName="SHA-512" hashValue="5OzSTvZ7XUsfbv1JG+2R08le3GaO/hc8bkZQBThHi3yExkAF5oorV6rpsEYvqecAdBFqSiGANaTUYIuFa50ShQ==" saltValue="9aIRKZ52sZqpp4w4di8bMg==" spinCount="100000" sheet="1" objects="1" scenarios="1"/>
  <mergeCells count="349">
    <mergeCell ref="B69:F69"/>
    <mergeCell ref="G69:H69"/>
    <mergeCell ref="I69:J69"/>
    <mergeCell ref="B70:F70"/>
    <mergeCell ref="G70:H70"/>
    <mergeCell ref="I70:J70"/>
    <mergeCell ref="B71:F71"/>
    <mergeCell ref="G71:H71"/>
    <mergeCell ref="I71:J71"/>
    <mergeCell ref="A163:F163"/>
    <mergeCell ref="G163:J163"/>
    <mergeCell ref="A164:F164"/>
    <mergeCell ref="G164:J164"/>
    <mergeCell ref="B65:F65"/>
    <mergeCell ref="G65:H65"/>
    <mergeCell ref="I65:J65"/>
    <mergeCell ref="B66:F66"/>
    <mergeCell ref="G66:H66"/>
    <mergeCell ref="I66:J66"/>
    <mergeCell ref="A160:F160"/>
    <mergeCell ref="G160:J160"/>
    <mergeCell ref="B161:F161"/>
    <mergeCell ref="G161:J161"/>
    <mergeCell ref="A162:F162"/>
    <mergeCell ref="G162:J162"/>
    <mergeCell ref="B157:F157"/>
    <mergeCell ref="G157:J157"/>
    <mergeCell ref="B158:F158"/>
    <mergeCell ref="G158:J158"/>
    <mergeCell ref="B159:F159"/>
    <mergeCell ref="G159:J159"/>
    <mergeCell ref="B154:F154"/>
    <mergeCell ref="G154:J154"/>
    <mergeCell ref="B155:F155"/>
    <mergeCell ref="G155:J155"/>
    <mergeCell ref="B156:F156"/>
    <mergeCell ref="G156:J156"/>
    <mergeCell ref="B151:F151"/>
    <mergeCell ref="G151:H151"/>
    <mergeCell ref="I151:J151"/>
    <mergeCell ref="A152:J152"/>
    <mergeCell ref="B153:F153"/>
    <mergeCell ref="G153:H153"/>
    <mergeCell ref="I153:J153"/>
    <mergeCell ref="B149:F149"/>
    <mergeCell ref="G149:H149"/>
    <mergeCell ref="I149:J149"/>
    <mergeCell ref="A150:F150"/>
    <mergeCell ref="G150:H150"/>
    <mergeCell ref="I150:J150"/>
    <mergeCell ref="B146:F146"/>
    <mergeCell ref="G146:H146"/>
    <mergeCell ref="I146:J146"/>
    <mergeCell ref="B147:F147"/>
    <mergeCell ref="G147:H147"/>
    <mergeCell ref="I147:J147"/>
    <mergeCell ref="B148:F148"/>
    <mergeCell ref="G148:H148"/>
    <mergeCell ref="I148:J148"/>
    <mergeCell ref="B144:F144"/>
    <mergeCell ref="G144:H144"/>
    <mergeCell ref="I144:J144"/>
    <mergeCell ref="B145:F145"/>
    <mergeCell ref="G145:H145"/>
    <mergeCell ref="I145:J145"/>
    <mergeCell ref="B142:F142"/>
    <mergeCell ref="G142:H142"/>
    <mergeCell ref="I142:J142"/>
    <mergeCell ref="B143:F143"/>
    <mergeCell ref="G143:H143"/>
    <mergeCell ref="I143:J143"/>
    <mergeCell ref="A139:F139"/>
    <mergeCell ref="G139:J139"/>
    <mergeCell ref="A140:F140"/>
    <mergeCell ref="G140:J140"/>
    <mergeCell ref="A141:F141"/>
    <mergeCell ref="G141:J141"/>
    <mergeCell ref="A136:F136"/>
    <mergeCell ref="G136:J136"/>
    <mergeCell ref="B137:F137"/>
    <mergeCell ref="G137:H137"/>
    <mergeCell ref="I137:J137"/>
    <mergeCell ref="A138:J138"/>
    <mergeCell ref="B132:F132"/>
    <mergeCell ref="G132:J132"/>
    <mergeCell ref="B135:F135"/>
    <mergeCell ref="G135:J135"/>
    <mergeCell ref="A129:J129"/>
    <mergeCell ref="B130:F130"/>
    <mergeCell ref="G130:H130"/>
    <mergeCell ref="I130:J130"/>
    <mergeCell ref="B131:F131"/>
    <mergeCell ref="G131:J131"/>
    <mergeCell ref="B133:F133"/>
    <mergeCell ref="G133:J133"/>
    <mergeCell ref="B134:F134"/>
    <mergeCell ref="G134:J134"/>
    <mergeCell ref="A126:F126"/>
    <mergeCell ref="G126:J126"/>
    <mergeCell ref="B127:F127"/>
    <mergeCell ref="G127:H127"/>
    <mergeCell ref="I127:J127"/>
    <mergeCell ref="B128:F128"/>
    <mergeCell ref="G128:H128"/>
    <mergeCell ref="I128:J128"/>
    <mergeCell ref="B123:F123"/>
    <mergeCell ref="G123:J123"/>
    <mergeCell ref="B124:F124"/>
    <mergeCell ref="G124:J124"/>
    <mergeCell ref="B125:F125"/>
    <mergeCell ref="G125:J125"/>
    <mergeCell ref="B120:F120"/>
    <mergeCell ref="G120:H120"/>
    <mergeCell ref="I120:J120"/>
    <mergeCell ref="A121:J121"/>
    <mergeCell ref="B122:F122"/>
    <mergeCell ref="G122:J122"/>
    <mergeCell ref="B117:F117"/>
    <mergeCell ref="G117:J117"/>
    <mergeCell ref="B118:F118"/>
    <mergeCell ref="G118:J118"/>
    <mergeCell ref="A119:F119"/>
    <mergeCell ref="G119:J119"/>
    <mergeCell ref="B114:F114"/>
    <mergeCell ref="G114:H114"/>
    <mergeCell ref="I114:J114"/>
    <mergeCell ref="A115:J115"/>
    <mergeCell ref="A116:F116"/>
    <mergeCell ref="G116:J116"/>
    <mergeCell ref="B112:F112"/>
    <mergeCell ref="G112:H112"/>
    <mergeCell ref="I112:J112"/>
    <mergeCell ref="A113:F113"/>
    <mergeCell ref="G113:H113"/>
    <mergeCell ref="I113:J113"/>
    <mergeCell ref="B110:F110"/>
    <mergeCell ref="G110:H110"/>
    <mergeCell ref="I110:J110"/>
    <mergeCell ref="A111:F111"/>
    <mergeCell ref="G111:H111"/>
    <mergeCell ref="I111:J111"/>
    <mergeCell ref="B108:F108"/>
    <mergeCell ref="G108:H108"/>
    <mergeCell ref="I108:J108"/>
    <mergeCell ref="A109:F109"/>
    <mergeCell ref="G109:H109"/>
    <mergeCell ref="I109:J109"/>
    <mergeCell ref="B106:F106"/>
    <mergeCell ref="G106:H106"/>
    <mergeCell ref="I106:J106"/>
    <mergeCell ref="B107:F107"/>
    <mergeCell ref="G107:H107"/>
    <mergeCell ref="I107:J107"/>
    <mergeCell ref="B104:F104"/>
    <mergeCell ref="G104:H104"/>
    <mergeCell ref="I104:J104"/>
    <mergeCell ref="B105:F105"/>
    <mergeCell ref="G105:H105"/>
    <mergeCell ref="I105:J105"/>
    <mergeCell ref="A101:J101"/>
    <mergeCell ref="B102:F102"/>
    <mergeCell ref="G102:H102"/>
    <mergeCell ref="I102:J102"/>
    <mergeCell ref="B103:F103"/>
    <mergeCell ref="G103:H103"/>
    <mergeCell ref="I103:J103"/>
    <mergeCell ref="A96:J96"/>
    <mergeCell ref="A97:J97"/>
    <mergeCell ref="A98:J98"/>
    <mergeCell ref="A99:J99"/>
    <mergeCell ref="A100:F100"/>
    <mergeCell ref="G100:J100"/>
    <mergeCell ref="B94:F94"/>
    <mergeCell ref="G94:H94"/>
    <mergeCell ref="I94:J94"/>
    <mergeCell ref="A95:F95"/>
    <mergeCell ref="G95:H95"/>
    <mergeCell ref="I95:J95"/>
    <mergeCell ref="B91:F91"/>
    <mergeCell ref="I91:J91"/>
    <mergeCell ref="B92:F92"/>
    <mergeCell ref="G92:H92"/>
    <mergeCell ref="I92:J92"/>
    <mergeCell ref="B93:F93"/>
    <mergeCell ref="G93:H93"/>
    <mergeCell ref="I93:J93"/>
    <mergeCell ref="B88:F88"/>
    <mergeCell ref="G88:H88"/>
    <mergeCell ref="I88:J88"/>
    <mergeCell ref="B89:F89"/>
    <mergeCell ref="I89:J89"/>
    <mergeCell ref="B90:F90"/>
    <mergeCell ref="G90:H90"/>
    <mergeCell ref="I90:J90"/>
    <mergeCell ref="A83:J83"/>
    <mergeCell ref="A84:J84"/>
    <mergeCell ref="A85:J85"/>
    <mergeCell ref="A86:F86"/>
    <mergeCell ref="G86:J86"/>
    <mergeCell ref="A87:J87"/>
    <mergeCell ref="B80:F80"/>
    <mergeCell ref="G80:J80"/>
    <mergeCell ref="B81:F81"/>
    <mergeCell ref="G81:J81"/>
    <mergeCell ref="A82:F82"/>
    <mergeCell ref="G82:J82"/>
    <mergeCell ref="A76:J76"/>
    <mergeCell ref="A77:J77"/>
    <mergeCell ref="B78:F78"/>
    <mergeCell ref="G78:J78"/>
    <mergeCell ref="B79:F79"/>
    <mergeCell ref="G79:J79"/>
    <mergeCell ref="B73:F73"/>
    <mergeCell ref="G73:H73"/>
    <mergeCell ref="I73:J73"/>
    <mergeCell ref="A74:H74"/>
    <mergeCell ref="I74:J74"/>
    <mergeCell ref="A75:J75"/>
    <mergeCell ref="B72:F72"/>
    <mergeCell ref="G72:H72"/>
    <mergeCell ref="I72:J72"/>
    <mergeCell ref="B67:F67"/>
    <mergeCell ref="G67:H67"/>
    <mergeCell ref="I67:J67"/>
    <mergeCell ref="B68:F68"/>
    <mergeCell ref="G68:H68"/>
    <mergeCell ref="I68:J68"/>
    <mergeCell ref="B63:F63"/>
    <mergeCell ref="G63:H63"/>
    <mergeCell ref="I63:J63"/>
    <mergeCell ref="B64:F64"/>
    <mergeCell ref="G64:H64"/>
    <mergeCell ref="I64:J64"/>
    <mergeCell ref="A59:F59"/>
    <mergeCell ref="G59:H59"/>
    <mergeCell ref="I59:J59"/>
    <mergeCell ref="A60:J60"/>
    <mergeCell ref="A61:J61"/>
    <mergeCell ref="A62:J62"/>
    <mergeCell ref="B57:F57"/>
    <mergeCell ref="G57:H57"/>
    <mergeCell ref="I57:J57"/>
    <mergeCell ref="B58:F58"/>
    <mergeCell ref="G58:H58"/>
    <mergeCell ref="I58:J58"/>
    <mergeCell ref="B55:F55"/>
    <mergeCell ref="G55:H55"/>
    <mergeCell ref="I55:J55"/>
    <mergeCell ref="B56:F56"/>
    <mergeCell ref="G56:H56"/>
    <mergeCell ref="I56:J56"/>
    <mergeCell ref="B53:F53"/>
    <mergeCell ref="G53:H53"/>
    <mergeCell ref="I53:J53"/>
    <mergeCell ref="B54:F54"/>
    <mergeCell ref="G54:H54"/>
    <mergeCell ref="I54:J54"/>
    <mergeCell ref="B51:F51"/>
    <mergeCell ref="G51:H51"/>
    <mergeCell ref="I51:J51"/>
    <mergeCell ref="B52:F52"/>
    <mergeCell ref="G52:H52"/>
    <mergeCell ref="I52:J52"/>
    <mergeCell ref="A46:J46"/>
    <mergeCell ref="A47:J47"/>
    <mergeCell ref="A48:F48"/>
    <mergeCell ref="G48:J48"/>
    <mergeCell ref="A49:J49"/>
    <mergeCell ref="B50:F50"/>
    <mergeCell ref="G50:H50"/>
    <mergeCell ref="I50:J50"/>
    <mergeCell ref="B44:F44"/>
    <mergeCell ref="G44:H44"/>
    <mergeCell ref="I44:J44"/>
    <mergeCell ref="A45:F45"/>
    <mergeCell ref="G45:H45"/>
    <mergeCell ref="I45:J45"/>
    <mergeCell ref="A41:J41"/>
    <mergeCell ref="B42:F42"/>
    <mergeCell ref="G42:H42"/>
    <mergeCell ref="I42:J42"/>
    <mergeCell ref="B43:F43"/>
    <mergeCell ref="G43:H43"/>
    <mergeCell ref="I43:J43"/>
    <mergeCell ref="A36:J36"/>
    <mergeCell ref="A37:J37"/>
    <mergeCell ref="A38:J38"/>
    <mergeCell ref="A39:J39"/>
    <mergeCell ref="A40:F40"/>
    <mergeCell ref="G40:J40"/>
    <mergeCell ref="B34:F34"/>
    <mergeCell ref="G34:J34"/>
    <mergeCell ref="A35:F35"/>
    <mergeCell ref="G35:J35"/>
    <mergeCell ref="A30:J30"/>
    <mergeCell ref="B31:F31"/>
    <mergeCell ref="G31:J31"/>
    <mergeCell ref="B32:F32"/>
    <mergeCell ref="G32:J32"/>
    <mergeCell ref="B33:F33"/>
    <mergeCell ref="G33:J33"/>
    <mergeCell ref="B26:F26"/>
    <mergeCell ref="G26:J26"/>
    <mergeCell ref="B27:F27"/>
    <mergeCell ref="G27:J27"/>
    <mergeCell ref="A28:J28"/>
    <mergeCell ref="A29:J29"/>
    <mergeCell ref="B23:F23"/>
    <mergeCell ref="G23:J23"/>
    <mergeCell ref="B24:F24"/>
    <mergeCell ref="G24:J24"/>
    <mergeCell ref="B25:F25"/>
    <mergeCell ref="G25:J25"/>
    <mergeCell ref="A19:C19"/>
    <mergeCell ref="D19:E19"/>
    <mergeCell ref="F19:J19"/>
    <mergeCell ref="A20:J20"/>
    <mergeCell ref="A21:J21"/>
    <mergeCell ref="A22:J22"/>
    <mergeCell ref="A15:J15"/>
    <mergeCell ref="A16:J16"/>
    <mergeCell ref="A17:J17"/>
    <mergeCell ref="A18:C18"/>
    <mergeCell ref="D18:E18"/>
    <mergeCell ref="F18:J18"/>
    <mergeCell ref="B12:F12"/>
    <mergeCell ref="G12:J12"/>
    <mergeCell ref="B13:F13"/>
    <mergeCell ref="G13:J13"/>
    <mergeCell ref="B14:F14"/>
    <mergeCell ref="G14:J14"/>
    <mergeCell ref="A8:J8"/>
    <mergeCell ref="A9:J9"/>
    <mergeCell ref="A10:J10"/>
    <mergeCell ref="B11:F11"/>
    <mergeCell ref="G11:J11"/>
    <mergeCell ref="A1:J1"/>
    <mergeCell ref="A2:J2"/>
    <mergeCell ref="B3:F3"/>
    <mergeCell ref="G3:H3"/>
    <mergeCell ref="I3:J3"/>
    <mergeCell ref="A4:C4"/>
    <mergeCell ref="D4:J4"/>
    <mergeCell ref="A5:C5"/>
    <mergeCell ref="D5:J5"/>
    <mergeCell ref="A6:C6"/>
    <mergeCell ref="D6:J6"/>
    <mergeCell ref="A7:C7"/>
    <mergeCell ref="D7:J7"/>
  </mergeCells>
  <conditionalFormatting sqref="G163:J163">
    <cfRule type="cellIs" dxfId="523" priority="2" operator="greaterThan">
      <formula>8526.27</formula>
    </cfRule>
  </conditionalFormatting>
  <conditionalFormatting sqref="G162:J162">
    <cfRule type="cellIs" dxfId="522" priority="1" operator="greaterThan">
      <formula>8526.28</formula>
    </cfRule>
  </conditionalFormatting>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2D290-ACF3-4E27-A62A-1631D0CAD509}">
  <sheetPr>
    <tabColor theme="5" tint="0.79998168889431442"/>
  </sheetPr>
  <dimension ref="A1:H191"/>
  <sheetViews>
    <sheetView zoomScale="80" zoomScaleNormal="80" workbookViewId="0">
      <selection activeCell="E12" sqref="E12"/>
    </sheetView>
  </sheetViews>
  <sheetFormatPr defaultColWidth="8.7265625" defaultRowHeight="14" x14ac:dyDescent="0.3"/>
  <cols>
    <col min="1" max="1" width="4.81640625" style="26" bestFit="1" customWidth="1"/>
    <col min="2" max="2" width="69.453125" style="26" customWidth="1"/>
    <col min="3" max="4" width="17.54296875" style="26" bestFit="1" customWidth="1"/>
    <col min="5" max="5" width="14.81640625" style="26" bestFit="1" customWidth="1"/>
    <col min="6" max="6" width="19.1796875" style="26" bestFit="1" customWidth="1"/>
    <col min="7" max="7" width="16.453125" style="26" bestFit="1" customWidth="1"/>
    <col min="8" max="8" width="21.54296875" style="26" bestFit="1" customWidth="1"/>
    <col min="9" max="16384" width="8.7265625" style="26"/>
  </cols>
  <sheetData>
    <row r="1" spans="1:7" x14ac:dyDescent="0.3">
      <c r="A1" s="461" t="s">
        <v>180</v>
      </c>
      <c r="B1" s="461"/>
      <c r="C1" s="461"/>
      <c r="D1" s="461"/>
      <c r="E1" s="461"/>
      <c r="F1" s="461"/>
      <c r="G1" s="461"/>
    </row>
    <row r="2" spans="1:7" x14ac:dyDescent="0.3">
      <c r="A2" s="40" t="s">
        <v>172</v>
      </c>
      <c r="B2" s="40" t="s">
        <v>181</v>
      </c>
      <c r="C2" s="42" t="s">
        <v>209</v>
      </c>
      <c r="D2" s="40" t="s">
        <v>135</v>
      </c>
      <c r="E2" s="40" t="s">
        <v>210</v>
      </c>
      <c r="F2" s="40" t="s">
        <v>182</v>
      </c>
      <c r="G2" s="40" t="s">
        <v>370</v>
      </c>
    </row>
    <row r="3" spans="1:7" x14ac:dyDescent="0.3">
      <c r="A3" s="28">
        <v>1</v>
      </c>
      <c r="B3" s="28" t="s">
        <v>183</v>
      </c>
      <c r="C3" s="167">
        <v>155.19999999999999</v>
      </c>
      <c r="D3" s="28">
        <v>3</v>
      </c>
      <c r="E3" s="29">
        <f>C3*D3</f>
        <v>465.59999999999997</v>
      </c>
      <c r="F3" s="28">
        <v>12</v>
      </c>
      <c r="G3" s="29">
        <f>E3/F3</f>
        <v>38.799999999999997</v>
      </c>
    </row>
    <row r="4" spans="1:7" x14ac:dyDescent="0.3">
      <c r="A4" s="28">
        <v>2</v>
      </c>
      <c r="B4" s="28" t="s">
        <v>184</v>
      </c>
      <c r="C4" s="167">
        <v>17.87</v>
      </c>
      <c r="D4" s="28">
        <v>1</v>
      </c>
      <c r="E4" s="29">
        <f t="shared" ref="E4:E6" si="0">C4*D4</f>
        <v>17.87</v>
      </c>
      <c r="F4" s="28">
        <v>24</v>
      </c>
      <c r="G4" s="29">
        <f t="shared" ref="G4:G6" si="1">E4/F4</f>
        <v>0.74458333333333337</v>
      </c>
    </row>
    <row r="5" spans="1:7" x14ac:dyDescent="0.3">
      <c r="A5" s="28">
        <v>3</v>
      </c>
      <c r="B5" s="28" t="s">
        <v>185</v>
      </c>
      <c r="C5" s="167">
        <v>65.760000000000005</v>
      </c>
      <c r="D5" s="28">
        <v>2</v>
      </c>
      <c r="E5" s="29">
        <f t="shared" si="0"/>
        <v>131.52000000000001</v>
      </c>
      <c r="F5" s="28">
        <v>12</v>
      </c>
      <c r="G5" s="29">
        <f t="shared" si="1"/>
        <v>10.96</v>
      </c>
    </row>
    <row r="6" spans="1:7" x14ac:dyDescent="0.3">
      <c r="A6" s="28">
        <v>4</v>
      </c>
      <c r="B6" s="28" t="s">
        <v>186</v>
      </c>
      <c r="C6" s="167">
        <v>1.26</v>
      </c>
      <c r="D6" s="28">
        <v>1</v>
      </c>
      <c r="E6" s="29">
        <f t="shared" si="0"/>
        <v>1.26</v>
      </c>
      <c r="F6" s="28">
        <v>12</v>
      </c>
      <c r="G6" s="29">
        <f t="shared" si="1"/>
        <v>0.105</v>
      </c>
    </row>
    <row r="7" spans="1:7" x14ac:dyDescent="0.3">
      <c r="A7" s="462" t="s">
        <v>187</v>
      </c>
      <c r="B7" s="462"/>
      <c r="C7" s="462"/>
      <c r="D7" s="462"/>
      <c r="E7" s="462"/>
      <c r="F7" s="462"/>
      <c r="G7" s="41">
        <f>SUM(G3:G6)</f>
        <v>50.609583333333326</v>
      </c>
    </row>
    <row r="10" spans="1:7" x14ac:dyDescent="0.3">
      <c r="A10" s="461" t="s">
        <v>188</v>
      </c>
      <c r="B10" s="461"/>
      <c r="C10" s="461"/>
      <c r="D10" s="461"/>
      <c r="E10" s="461"/>
      <c r="F10" s="461"/>
      <c r="G10" s="461"/>
    </row>
    <row r="11" spans="1:7" x14ac:dyDescent="0.3">
      <c r="A11" s="42" t="s">
        <v>172</v>
      </c>
      <c r="B11" s="42" t="s">
        <v>181</v>
      </c>
      <c r="C11" s="42" t="s">
        <v>209</v>
      </c>
      <c r="D11" s="42" t="s">
        <v>135</v>
      </c>
      <c r="E11" s="40" t="s">
        <v>210</v>
      </c>
      <c r="F11" s="40" t="s">
        <v>182</v>
      </c>
      <c r="G11" s="40" t="s">
        <v>370</v>
      </c>
    </row>
    <row r="12" spans="1:7" x14ac:dyDescent="0.3">
      <c r="A12" s="30">
        <v>1</v>
      </c>
      <c r="B12" s="31" t="s">
        <v>189</v>
      </c>
      <c r="C12" s="168">
        <v>38.01</v>
      </c>
      <c r="D12" s="30">
        <v>7</v>
      </c>
      <c r="E12" s="32">
        <f>C12*D12</f>
        <v>266.07</v>
      </c>
      <c r="F12" s="30">
        <v>12</v>
      </c>
      <c r="G12" s="32">
        <f>E12/F12</f>
        <v>22.172499999999999</v>
      </c>
    </row>
    <row r="13" spans="1:7" x14ac:dyDescent="0.3">
      <c r="A13" s="30">
        <v>2</v>
      </c>
      <c r="B13" s="31" t="s">
        <v>190</v>
      </c>
      <c r="C13" s="168">
        <v>39.450000000000003</v>
      </c>
      <c r="D13" s="30">
        <v>2</v>
      </c>
      <c r="E13" s="32">
        <f t="shared" ref="E13:E24" si="2">C13*D13</f>
        <v>78.900000000000006</v>
      </c>
      <c r="F13" s="30">
        <v>12</v>
      </c>
      <c r="G13" s="32">
        <f t="shared" ref="G13:G24" si="3">E13/F13</f>
        <v>6.5750000000000002</v>
      </c>
    </row>
    <row r="14" spans="1:7" x14ac:dyDescent="0.3">
      <c r="A14" s="30">
        <v>3</v>
      </c>
      <c r="B14" s="31" t="s">
        <v>191</v>
      </c>
      <c r="C14" s="168">
        <v>12.33</v>
      </c>
      <c r="D14" s="30">
        <v>6</v>
      </c>
      <c r="E14" s="32">
        <f t="shared" si="2"/>
        <v>73.98</v>
      </c>
      <c r="F14" s="30">
        <v>6</v>
      </c>
      <c r="G14" s="32">
        <f t="shared" si="3"/>
        <v>12.33</v>
      </c>
    </row>
    <row r="15" spans="1:7" ht="28" x14ac:dyDescent="0.3">
      <c r="A15" s="30">
        <v>4</v>
      </c>
      <c r="B15" s="31" t="s">
        <v>192</v>
      </c>
      <c r="C15" s="168">
        <v>65.760000000000005</v>
      </c>
      <c r="D15" s="30">
        <v>2</v>
      </c>
      <c r="E15" s="32">
        <f t="shared" si="2"/>
        <v>131.52000000000001</v>
      </c>
      <c r="F15" s="30">
        <v>24</v>
      </c>
      <c r="G15" s="32">
        <f t="shared" si="3"/>
        <v>5.48</v>
      </c>
    </row>
    <row r="16" spans="1:7" ht="28" x14ac:dyDescent="0.3">
      <c r="A16" s="30">
        <v>5</v>
      </c>
      <c r="B16" s="31" t="s">
        <v>193</v>
      </c>
      <c r="C16" s="168">
        <v>160.97</v>
      </c>
      <c r="D16" s="30">
        <v>3</v>
      </c>
      <c r="E16" s="32">
        <f t="shared" si="2"/>
        <v>482.90999999999997</v>
      </c>
      <c r="F16" s="30">
        <v>24</v>
      </c>
      <c r="G16" s="32">
        <f t="shared" si="3"/>
        <v>20.12125</v>
      </c>
    </row>
    <row r="17" spans="1:7" ht="28" x14ac:dyDescent="0.3">
      <c r="A17" s="30">
        <v>6</v>
      </c>
      <c r="B17" s="31" t="s">
        <v>194</v>
      </c>
      <c r="C17" s="168">
        <v>183.23</v>
      </c>
      <c r="D17" s="30">
        <v>1</v>
      </c>
      <c r="E17" s="32">
        <f t="shared" si="2"/>
        <v>183.23</v>
      </c>
      <c r="F17" s="30">
        <v>24</v>
      </c>
      <c r="G17" s="32">
        <f t="shared" si="3"/>
        <v>7.6345833333333326</v>
      </c>
    </row>
    <row r="18" spans="1:7" ht="28" x14ac:dyDescent="0.3">
      <c r="A18" s="30">
        <v>7</v>
      </c>
      <c r="B18" s="31" t="s">
        <v>195</v>
      </c>
      <c r="C18" s="168">
        <v>13.7</v>
      </c>
      <c r="D18" s="30">
        <v>8</v>
      </c>
      <c r="E18" s="32">
        <f t="shared" si="2"/>
        <v>109.6</v>
      </c>
      <c r="F18" s="30">
        <v>60</v>
      </c>
      <c r="G18" s="32">
        <f t="shared" si="3"/>
        <v>1.8266666666666667</v>
      </c>
    </row>
    <row r="19" spans="1:7" x14ac:dyDescent="0.3">
      <c r="A19" s="30">
        <v>8</v>
      </c>
      <c r="B19" s="31" t="s">
        <v>196</v>
      </c>
      <c r="C19" s="168">
        <v>584.75</v>
      </c>
      <c r="D19" s="30">
        <v>1</v>
      </c>
      <c r="E19" s="32">
        <f t="shared" si="2"/>
        <v>584.75</v>
      </c>
      <c r="F19" s="30">
        <v>24</v>
      </c>
      <c r="G19" s="32">
        <f t="shared" si="3"/>
        <v>24.364583333333332</v>
      </c>
    </row>
    <row r="20" spans="1:7" x14ac:dyDescent="0.3">
      <c r="A20" s="30">
        <v>9</v>
      </c>
      <c r="B20" s="31" t="s">
        <v>197</v>
      </c>
      <c r="C20" s="168">
        <v>27.4</v>
      </c>
      <c r="D20" s="30">
        <v>2</v>
      </c>
      <c r="E20" s="32">
        <f t="shared" si="2"/>
        <v>54.8</v>
      </c>
      <c r="F20" s="30">
        <v>12</v>
      </c>
      <c r="G20" s="32">
        <f t="shared" si="3"/>
        <v>4.5666666666666664</v>
      </c>
    </row>
    <row r="21" spans="1:7" x14ac:dyDescent="0.3">
      <c r="A21" s="30">
        <v>10</v>
      </c>
      <c r="B21" s="31" t="s">
        <v>198</v>
      </c>
      <c r="C21" s="168">
        <v>2.0499999999999998</v>
      </c>
      <c r="D21" s="30">
        <v>6</v>
      </c>
      <c r="E21" s="32">
        <f t="shared" si="2"/>
        <v>12.299999999999999</v>
      </c>
      <c r="F21" s="30">
        <v>12</v>
      </c>
      <c r="G21" s="32">
        <f t="shared" si="3"/>
        <v>1.0249999999999999</v>
      </c>
    </row>
    <row r="22" spans="1:7" x14ac:dyDescent="0.3">
      <c r="A22" s="30">
        <v>11</v>
      </c>
      <c r="B22" s="31" t="s">
        <v>199</v>
      </c>
      <c r="C22" s="168">
        <v>28.08</v>
      </c>
      <c r="D22" s="30">
        <v>7</v>
      </c>
      <c r="E22" s="32">
        <f t="shared" si="2"/>
        <v>196.56</v>
      </c>
      <c r="F22" s="30">
        <v>12</v>
      </c>
      <c r="G22" s="32">
        <f t="shared" si="3"/>
        <v>16.38</v>
      </c>
    </row>
    <row r="23" spans="1:7" x14ac:dyDescent="0.3">
      <c r="A23" s="30">
        <v>12</v>
      </c>
      <c r="B23" s="31" t="s">
        <v>200</v>
      </c>
      <c r="C23" s="168">
        <v>69.87</v>
      </c>
      <c r="D23" s="30">
        <v>10</v>
      </c>
      <c r="E23" s="32">
        <f t="shared" si="2"/>
        <v>698.7</v>
      </c>
      <c r="F23" s="30">
        <v>12</v>
      </c>
      <c r="G23" s="32">
        <f t="shared" si="3"/>
        <v>58.225000000000001</v>
      </c>
    </row>
    <row r="24" spans="1:7" ht="28" x14ac:dyDescent="0.3">
      <c r="A24" s="30">
        <v>13</v>
      </c>
      <c r="B24" s="31" t="s">
        <v>201</v>
      </c>
      <c r="C24" s="168">
        <v>5.34</v>
      </c>
      <c r="D24" s="30">
        <v>6</v>
      </c>
      <c r="E24" s="32">
        <f t="shared" si="2"/>
        <v>32.04</v>
      </c>
      <c r="F24" s="30">
        <v>6</v>
      </c>
      <c r="G24" s="32">
        <f t="shared" si="3"/>
        <v>5.34</v>
      </c>
    </row>
    <row r="25" spans="1:7" x14ac:dyDescent="0.3">
      <c r="A25" s="463" t="s">
        <v>202</v>
      </c>
      <c r="B25" s="463"/>
      <c r="C25" s="463"/>
      <c r="D25" s="463"/>
      <c r="E25" s="463"/>
      <c r="F25" s="463"/>
      <c r="G25" s="43">
        <f>SUM(G12:G24)</f>
        <v>186.04125000000002</v>
      </c>
    </row>
    <row r="26" spans="1:7" x14ac:dyDescent="0.3">
      <c r="A26" s="463" t="s">
        <v>187</v>
      </c>
      <c r="B26" s="463"/>
      <c r="C26" s="463"/>
      <c r="D26" s="463"/>
      <c r="E26" s="463"/>
      <c r="F26" s="463"/>
      <c r="G26" s="43">
        <f>G25/10</f>
        <v>18.604125000000003</v>
      </c>
    </row>
    <row r="29" spans="1:7" x14ac:dyDescent="0.3">
      <c r="A29" s="461" t="s">
        <v>203</v>
      </c>
      <c r="B29" s="461"/>
      <c r="C29" s="461"/>
      <c r="D29" s="461"/>
      <c r="E29" s="461"/>
      <c r="F29" s="461"/>
      <c r="G29" s="461"/>
    </row>
    <row r="30" spans="1:7" x14ac:dyDescent="0.3">
      <c r="A30" s="40" t="s">
        <v>172</v>
      </c>
      <c r="B30" s="40" t="s">
        <v>181</v>
      </c>
      <c r="C30" s="42" t="s">
        <v>209</v>
      </c>
      <c r="D30" s="40" t="s">
        <v>135</v>
      </c>
      <c r="E30" s="40" t="s">
        <v>210</v>
      </c>
      <c r="F30" s="40" t="s">
        <v>182</v>
      </c>
      <c r="G30" s="40" t="s">
        <v>370</v>
      </c>
    </row>
    <row r="31" spans="1:7" x14ac:dyDescent="0.3">
      <c r="A31" s="33">
        <v>1</v>
      </c>
      <c r="B31" s="34" t="s">
        <v>204</v>
      </c>
      <c r="C31" s="35">
        <v>800</v>
      </c>
      <c r="D31" s="34">
        <v>1</v>
      </c>
      <c r="E31" s="36">
        <f>C31*D31</f>
        <v>800</v>
      </c>
      <c r="F31" s="37">
        <v>24</v>
      </c>
      <c r="G31" s="38">
        <f>E31/F31</f>
        <v>33.333333333333336</v>
      </c>
    </row>
    <row r="32" spans="1:7" x14ac:dyDescent="0.3">
      <c r="A32" s="33">
        <v>2</v>
      </c>
      <c r="B32" s="34" t="s">
        <v>205</v>
      </c>
      <c r="C32" s="35">
        <v>800</v>
      </c>
      <c r="D32" s="34">
        <v>1</v>
      </c>
      <c r="E32" s="36">
        <f>C32*D32</f>
        <v>800</v>
      </c>
      <c r="F32" s="37">
        <v>12</v>
      </c>
      <c r="G32" s="38">
        <f>E32/F32</f>
        <v>66.666666666666671</v>
      </c>
    </row>
    <row r="33" spans="1:8" x14ac:dyDescent="0.3">
      <c r="A33" s="463" t="s">
        <v>206</v>
      </c>
      <c r="B33" s="463"/>
      <c r="C33" s="463"/>
      <c r="D33" s="463"/>
      <c r="E33" s="463"/>
      <c r="F33" s="463"/>
      <c r="G33" s="44">
        <f>SUM(G29:G32)</f>
        <v>100</v>
      </c>
    </row>
    <row r="34" spans="1:8" x14ac:dyDescent="0.3">
      <c r="A34" s="463" t="s">
        <v>187</v>
      </c>
      <c r="B34" s="463"/>
      <c r="C34" s="463"/>
      <c r="D34" s="463"/>
      <c r="E34" s="463"/>
      <c r="F34" s="463"/>
      <c r="G34" s="44">
        <f>G33/10</f>
        <v>10</v>
      </c>
    </row>
    <row r="37" spans="1:8" x14ac:dyDescent="0.3">
      <c r="A37" s="461" t="s">
        <v>207</v>
      </c>
      <c r="B37" s="461"/>
      <c r="C37" s="461"/>
      <c r="D37" s="461"/>
      <c r="E37" s="461"/>
      <c r="F37" s="461"/>
      <c r="G37" s="461"/>
      <c r="H37" s="461"/>
    </row>
    <row r="38" spans="1:8" x14ac:dyDescent="0.3">
      <c r="A38" s="42" t="s">
        <v>172</v>
      </c>
      <c r="B38" s="42" t="s">
        <v>208</v>
      </c>
      <c r="C38" s="42" t="s">
        <v>135</v>
      </c>
      <c r="D38" s="45" t="s">
        <v>209</v>
      </c>
      <c r="E38" s="45" t="s">
        <v>210</v>
      </c>
      <c r="F38" s="42" t="s">
        <v>211</v>
      </c>
      <c r="G38" s="42" t="s">
        <v>212</v>
      </c>
      <c r="H38" s="45" t="s">
        <v>213</v>
      </c>
    </row>
    <row r="39" spans="1:8" x14ac:dyDescent="0.3">
      <c r="A39" s="30">
        <v>1</v>
      </c>
      <c r="B39" s="31" t="s">
        <v>214</v>
      </c>
      <c r="C39" s="30">
        <v>1</v>
      </c>
      <c r="D39" s="168">
        <v>418.49</v>
      </c>
      <c r="E39" s="32">
        <f>C39*D39</f>
        <v>418.49</v>
      </c>
      <c r="F39" s="30">
        <v>120</v>
      </c>
      <c r="G39" s="39">
        <v>0.1</v>
      </c>
      <c r="H39" s="32">
        <f>(E39-(E39*G39))/(F39)</f>
        <v>3.1386750000000001</v>
      </c>
    </row>
    <row r="40" spans="1:8" x14ac:dyDescent="0.3">
      <c r="A40" s="30">
        <v>2</v>
      </c>
      <c r="B40" s="31" t="s">
        <v>215</v>
      </c>
      <c r="C40" s="30">
        <v>2</v>
      </c>
      <c r="D40" s="168">
        <v>281.3</v>
      </c>
      <c r="E40" s="32">
        <f t="shared" ref="E40:E103" si="4">C40*D40</f>
        <v>562.6</v>
      </c>
      <c r="F40" s="30">
        <v>120</v>
      </c>
      <c r="G40" s="39">
        <v>0.1</v>
      </c>
      <c r="H40" s="32">
        <f t="shared" ref="H40:H103" si="5">(E40-(E40*G40))/(F40)</f>
        <v>4.2195</v>
      </c>
    </row>
    <row r="41" spans="1:8" x14ac:dyDescent="0.3">
      <c r="A41" s="30">
        <v>3</v>
      </c>
      <c r="B41" s="31" t="s">
        <v>216</v>
      </c>
      <c r="C41" s="30">
        <v>3</v>
      </c>
      <c r="D41" s="168">
        <v>39.4</v>
      </c>
      <c r="E41" s="32">
        <f t="shared" si="4"/>
        <v>118.19999999999999</v>
      </c>
      <c r="F41" s="30">
        <v>120</v>
      </c>
      <c r="G41" s="39">
        <v>0.1</v>
      </c>
      <c r="H41" s="32">
        <f t="shared" si="5"/>
        <v>0.88649999999999995</v>
      </c>
    </row>
    <row r="42" spans="1:8" x14ac:dyDescent="0.3">
      <c r="A42" s="30">
        <v>4</v>
      </c>
      <c r="B42" s="31" t="s">
        <v>217</v>
      </c>
      <c r="C42" s="30">
        <v>1</v>
      </c>
      <c r="D42" s="168">
        <v>1532</v>
      </c>
      <c r="E42" s="32">
        <f t="shared" si="4"/>
        <v>1532</v>
      </c>
      <c r="F42" s="30">
        <v>120</v>
      </c>
      <c r="G42" s="39">
        <v>0.1</v>
      </c>
      <c r="H42" s="32">
        <f t="shared" si="5"/>
        <v>11.49</v>
      </c>
    </row>
    <row r="43" spans="1:8" x14ac:dyDescent="0.3">
      <c r="A43" s="30">
        <v>5</v>
      </c>
      <c r="B43" s="31" t="s">
        <v>218</v>
      </c>
      <c r="C43" s="30">
        <v>1</v>
      </c>
      <c r="D43" s="168">
        <v>1330.68</v>
      </c>
      <c r="E43" s="32">
        <f t="shared" si="4"/>
        <v>1330.68</v>
      </c>
      <c r="F43" s="30">
        <v>120</v>
      </c>
      <c r="G43" s="39">
        <v>0.1</v>
      </c>
      <c r="H43" s="32">
        <f t="shared" si="5"/>
        <v>9.9801000000000002</v>
      </c>
    </row>
    <row r="44" spans="1:8" x14ac:dyDescent="0.3">
      <c r="A44" s="30">
        <v>6</v>
      </c>
      <c r="B44" s="31" t="s">
        <v>219</v>
      </c>
      <c r="C44" s="30">
        <v>1</v>
      </c>
      <c r="D44" s="168">
        <v>1194.43</v>
      </c>
      <c r="E44" s="32">
        <f t="shared" si="4"/>
        <v>1194.43</v>
      </c>
      <c r="F44" s="30">
        <v>120</v>
      </c>
      <c r="G44" s="39">
        <v>0.1</v>
      </c>
      <c r="H44" s="32">
        <f t="shared" si="5"/>
        <v>8.9582250000000005</v>
      </c>
    </row>
    <row r="45" spans="1:8" x14ac:dyDescent="0.3">
      <c r="A45" s="30">
        <v>7</v>
      </c>
      <c r="B45" s="31" t="s">
        <v>220</v>
      </c>
      <c r="C45" s="30">
        <v>1</v>
      </c>
      <c r="D45" s="168">
        <v>817.57</v>
      </c>
      <c r="E45" s="32">
        <f t="shared" si="4"/>
        <v>817.57</v>
      </c>
      <c r="F45" s="30">
        <v>120</v>
      </c>
      <c r="G45" s="39">
        <v>0.1</v>
      </c>
      <c r="H45" s="32">
        <f t="shared" si="5"/>
        <v>6.1317750000000011</v>
      </c>
    </row>
    <row r="46" spans="1:8" x14ac:dyDescent="0.3">
      <c r="A46" s="30">
        <v>8</v>
      </c>
      <c r="B46" s="31" t="s">
        <v>221</v>
      </c>
      <c r="C46" s="30">
        <v>1</v>
      </c>
      <c r="D46" s="168">
        <v>791.54</v>
      </c>
      <c r="E46" s="32">
        <f t="shared" si="4"/>
        <v>791.54</v>
      </c>
      <c r="F46" s="30">
        <v>120</v>
      </c>
      <c r="G46" s="39">
        <v>0.1</v>
      </c>
      <c r="H46" s="32">
        <f t="shared" si="5"/>
        <v>5.9365499999999995</v>
      </c>
    </row>
    <row r="47" spans="1:8" x14ac:dyDescent="0.3">
      <c r="A47" s="30">
        <v>9</v>
      </c>
      <c r="B47" s="31" t="s">
        <v>222</v>
      </c>
      <c r="C47" s="30">
        <v>1</v>
      </c>
      <c r="D47" s="168">
        <v>421.44</v>
      </c>
      <c r="E47" s="32">
        <f t="shared" si="4"/>
        <v>421.44</v>
      </c>
      <c r="F47" s="30">
        <v>120</v>
      </c>
      <c r="G47" s="39">
        <v>0.1</v>
      </c>
      <c r="H47" s="32">
        <f t="shared" si="5"/>
        <v>3.1608000000000001</v>
      </c>
    </row>
    <row r="48" spans="1:8" x14ac:dyDescent="0.3">
      <c r="A48" s="30">
        <v>10</v>
      </c>
      <c r="B48" s="31" t="s">
        <v>223</v>
      </c>
      <c r="C48" s="30">
        <v>2</v>
      </c>
      <c r="D48" s="168">
        <v>562.52</v>
      </c>
      <c r="E48" s="32">
        <f t="shared" si="4"/>
        <v>1125.04</v>
      </c>
      <c r="F48" s="30">
        <v>120</v>
      </c>
      <c r="G48" s="39">
        <v>0.1</v>
      </c>
      <c r="H48" s="32">
        <f t="shared" si="5"/>
        <v>8.4377999999999993</v>
      </c>
    </row>
    <row r="49" spans="1:8" x14ac:dyDescent="0.3">
      <c r="A49" s="30">
        <v>11</v>
      </c>
      <c r="B49" s="31" t="s">
        <v>224</v>
      </c>
      <c r="C49" s="30">
        <v>8</v>
      </c>
      <c r="D49" s="168">
        <v>289.81</v>
      </c>
      <c r="E49" s="32">
        <f t="shared" si="4"/>
        <v>2318.48</v>
      </c>
      <c r="F49" s="30">
        <v>120</v>
      </c>
      <c r="G49" s="39">
        <v>0.1</v>
      </c>
      <c r="H49" s="32">
        <f t="shared" si="5"/>
        <v>17.3886</v>
      </c>
    </row>
    <row r="50" spans="1:8" ht="28" x14ac:dyDescent="0.3">
      <c r="A50" s="30">
        <v>12</v>
      </c>
      <c r="B50" s="31" t="s">
        <v>225</v>
      </c>
      <c r="C50" s="30">
        <v>1</v>
      </c>
      <c r="D50" s="168">
        <v>880.26</v>
      </c>
      <c r="E50" s="32">
        <f t="shared" si="4"/>
        <v>880.26</v>
      </c>
      <c r="F50" s="30">
        <v>120</v>
      </c>
      <c r="G50" s="39">
        <v>0.1</v>
      </c>
      <c r="H50" s="32">
        <f t="shared" si="5"/>
        <v>6.6019499999999995</v>
      </c>
    </row>
    <row r="51" spans="1:8" x14ac:dyDescent="0.3">
      <c r="A51" s="30">
        <v>13</v>
      </c>
      <c r="B51" s="31" t="s">
        <v>226</v>
      </c>
      <c r="C51" s="30">
        <v>1</v>
      </c>
      <c r="D51" s="168">
        <v>401.44</v>
      </c>
      <c r="E51" s="32">
        <f t="shared" si="4"/>
        <v>401.44</v>
      </c>
      <c r="F51" s="30">
        <v>120</v>
      </c>
      <c r="G51" s="39">
        <v>0.1</v>
      </c>
      <c r="H51" s="32">
        <f t="shared" si="5"/>
        <v>3.0108000000000001</v>
      </c>
    </row>
    <row r="52" spans="1:8" x14ac:dyDescent="0.3">
      <c r="A52" s="30">
        <v>14</v>
      </c>
      <c r="B52" s="31" t="s">
        <v>227</v>
      </c>
      <c r="C52" s="30">
        <v>12</v>
      </c>
      <c r="D52" s="168">
        <v>31.15</v>
      </c>
      <c r="E52" s="32">
        <f t="shared" si="4"/>
        <v>373.79999999999995</v>
      </c>
      <c r="F52" s="30">
        <v>120</v>
      </c>
      <c r="G52" s="39">
        <v>0.1</v>
      </c>
      <c r="H52" s="32">
        <f t="shared" si="5"/>
        <v>2.8034999999999997</v>
      </c>
    </row>
    <row r="53" spans="1:8" x14ac:dyDescent="0.3">
      <c r="A53" s="30">
        <v>15</v>
      </c>
      <c r="B53" s="31" t="s">
        <v>228</v>
      </c>
      <c r="C53" s="30">
        <v>6</v>
      </c>
      <c r="D53" s="168">
        <v>19.600000000000001</v>
      </c>
      <c r="E53" s="32">
        <f t="shared" si="4"/>
        <v>117.60000000000001</v>
      </c>
      <c r="F53" s="30">
        <v>120</v>
      </c>
      <c r="G53" s="39">
        <v>0.1</v>
      </c>
      <c r="H53" s="32">
        <f t="shared" si="5"/>
        <v>0.88200000000000001</v>
      </c>
    </row>
    <row r="54" spans="1:8" ht="28" x14ac:dyDescent="0.3">
      <c r="A54" s="30">
        <v>16</v>
      </c>
      <c r="B54" s="31" t="s">
        <v>229</v>
      </c>
      <c r="C54" s="30">
        <v>1</v>
      </c>
      <c r="D54" s="168">
        <v>2068.7199999999998</v>
      </c>
      <c r="E54" s="32">
        <f t="shared" si="4"/>
        <v>2068.7199999999998</v>
      </c>
      <c r="F54" s="30">
        <v>120</v>
      </c>
      <c r="G54" s="39">
        <v>0.1</v>
      </c>
      <c r="H54" s="32">
        <f t="shared" si="5"/>
        <v>15.515399999999998</v>
      </c>
    </row>
    <row r="55" spans="1:8" x14ac:dyDescent="0.3">
      <c r="A55" s="30">
        <v>17</v>
      </c>
      <c r="B55" s="31" t="s">
        <v>230</v>
      </c>
      <c r="C55" s="30">
        <v>1</v>
      </c>
      <c r="D55" s="168">
        <v>1405.21</v>
      </c>
      <c r="E55" s="32">
        <f t="shared" si="4"/>
        <v>1405.21</v>
      </c>
      <c r="F55" s="30">
        <v>120</v>
      </c>
      <c r="G55" s="39">
        <v>0.1</v>
      </c>
      <c r="H55" s="32">
        <f t="shared" si="5"/>
        <v>10.539075</v>
      </c>
    </row>
    <row r="56" spans="1:8" ht="28" x14ac:dyDescent="0.3">
      <c r="A56" s="30">
        <v>18</v>
      </c>
      <c r="B56" s="31" t="s">
        <v>231</v>
      </c>
      <c r="C56" s="30">
        <v>1</v>
      </c>
      <c r="D56" s="168">
        <v>476.44</v>
      </c>
      <c r="E56" s="32">
        <f t="shared" si="4"/>
        <v>476.44</v>
      </c>
      <c r="F56" s="30">
        <v>120</v>
      </c>
      <c r="G56" s="39">
        <v>0.1</v>
      </c>
      <c r="H56" s="32">
        <f t="shared" si="5"/>
        <v>3.5733000000000001</v>
      </c>
    </row>
    <row r="57" spans="1:8" x14ac:dyDescent="0.3">
      <c r="A57" s="30">
        <v>19</v>
      </c>
      <c r="B57" s="31" t="s">
        <v>232</v>
      </c>
      <c r="C57" s="30">
        <v>1</v>
      </c>
      <c r="D57" s="168">
        <v>344.71</v>
      </c>
      <c r="E57" s="32">
        <f t="shared" si="4"/>
        <v>344.71</v>
      </c>
      <c r="F57" s="30">
        <v>120</v>
      </c>
      <c r="G57" s="39">
        <v>0.1</v>
      </c>
      <c r="H57" s="32">
        <f t="shared" si="5"/>
        <v>2.5853249999999997</v>
      </c>
    </row>
    <row r="58" spans="1:8" x14ac:dyDescent="0.3">
      <c r="A58" s="30">
        <v>20</v>
      </c>
      <c r="B58" s="31" t="s">
        <v>233</v>
      </c>
      <c r="C58" s="30">
        <v>1</v>
      </c>
      <c r="D58" s="168">
        <v>414.64</v>
      </c>
      <c r="E58" s="32">
        <f t="shared" si="4"/>
        <v>414.64</v>
      </c>
      <c r="F58" s="30">
        <v>120</v>
      </c>
      <c r="G58" s="39">
        <v>0.1</v>
      </c>
      <c r="H58" s="32">
        <f t="shared" si="5"/>
        <v>3.1097999999999999</v>
      </c>
    </row>
    <row r="59" spans="1:8" x14ac:dyDescent="0.3">
      <c r="A59" s="30">
        <v>21</v>
      </c>
      <c r="B59" s="31" t="s">
        <v>234</v>
      </c>
      <c r="C59" s="30">
        <v>4</v>
      </c>
      <c r="D59" s="168">
        <v>159.26</v>
      </c>
      <c r="E59" s="32">
        <f t="shared" si="4"/>
        <v>637.04</v>
      </c>
      <c r="F59" s="30">
        <v>120</v>
      </c>
      <c r="G59" s="39">
        <v>0.1</v>
      </c>
      <c r="H59" s="32">
        <f t="shared" si="5"/>
        <v>4.7778</v>
      </c>
    </row>
    <row r="60" spans="1:8" x14ac:dyDescent="0.3">
      <c r="A60" s="30">
        <v>22</v>
      </c>
      <c r="B60" s="31" t="s">
        <v>235</v>
      </c>
      <c r="C60" s="30">
        <v>2</v>
      </c>
      <c r="D60" s="168">
        <v>44.92</v>
      </c>
      <c r="E60" s="32">
        <f t="shared" si="4"/>
        <v>89.84</v>
      </c>
      <c r="F60" s="30">
        <v>120</v>
      </c>
      <c r="G60" s="39">
        <v>0.1</v>
      </c>
      <c r="H60" s="32">
        <f t="shared" si="5"/>
        <v>0.67380000000000007</v>
      </c>
    </row>
    <row r="61" spans="1:8" ht="28" x14ac:dyDescent="0.3">
      <c r="A61" s="30">
        <v>23</v>
      </c>
      <c r="B61" s="31" t="s">
        <v>236</v>
      </c>
      <c r="C61" s="30">
        <v>2</v>
      </c>
      <c r="D61" s="168">
        <v>490.35</v>
      </c>
      <c r="E61" s="32">
        <f t="shared" si="4"/>
        <v>980.7</v>
      </c>
      <c r="F61" s="30">
        <v>120</v>
      </c>
      <c r="G61" s="39">
        <v>0.1</v>
      </c>
      <c r="H61" s="32">
        <f t="shared" si="5"/>
        <v>7.3552499999999998</v>
      </c>
    </row>
    <row r="62" spans="1:8" ht="28" x14ac:dyDescent="0.3">
      <c r="A62" s="30">
        <v>24</v>
      </c>
      <c r="B62" s="31" t="s">
        <v>237</v>
      </c>
      <c r="C62" s="30">
        <v>1</v>
      </c>
      <c r="D62" s="168">
        <v>361.42</v>
      </c>
      <c r="E62" s="32">
        <f t="shared" si="4"/>
        <v>361.42</v>
      </c>
      <c r="F62" s="30">
        <v>120</v>
      </c>
      <c r="G62" s="39">
        <v>0.1</v>
      </c>
      <c r="H62" s="32">
        <f t="shared" si="5"/>
        <v>2.7106500000000002</v>
      </c>
    </row>
    <row r="63" spans="1:8" ht="28" x14ac:dyDescent="0.3">
      <c r="A63" s="30">
        <v>25</v>
      </c>
      <c r="B63" s="31" t="s">
        <v>238</v>
      </c>
      <c r="C63" s="30">
        <v>1</v>
      </c>
      <c r="D63" s="168">
        <v>579</v>
      </c>
      <c r="E63" s="32">
        <f t="shared" si="4"/>
        <v>579</v>
      </c>
      <c r="F63" s="30">
        <v>120</v>
      </c>
      <c r="G63" s="39">
        <v>0.1</v>
      </c>
      <c r="H63" s="32">
        <f t="shared" si="5"/>
        <v>4.3425000000000002</v>
      </c>
    </row>
    <row r="64" spans="1:8" x14ac:dyDescent="0.3">
      <c r="A64" s="30">
        <v>26</v>
      </c>
      <c r="B64" s="31" t="s">
        <v>239</v>
      </c>
      <c r="C64" s="30">
        <v>1</v>
      </c>
      <c r="D64" s="168">
        <v>338.87</v>
      </c>
      <c r="E64" s="32">
        <f t="shared" si="4"/>
        <v>338.87</v>
      </c>
      <c r="F64" s="30">
        <v>120</v>
      </c>
      <c r="G64" s="39">
        <v>0.1</v>
      </c>
      <c r="H64" s="32">
        <f t="shared" si="5"/>
        <v>2.541525</v>
      </c>
    </row>
    <row r="65" spans="1:8" x14ac:dyDescent="0.3">
      <c r="A65" s="30">
        <v>27</v>
      </c>
      <c r="B65" s="31" t="s">
        <v>240</v>
      </c>
      <c r="C65" s="30">
        <v>8</v>
      </c>
      <c r="D65" s="168">
        <v>29.37</v>
      </c>
      <c r="E65" s="32">
        <f t="shared" si="4"/>
        <v>234.96</v>
      </c>
      <c r="F65" s="30">
        <v>120</v>
      </c>
      <c r="G65" s="39">
        <v>0.1</v>
      </c>
      <c r="H65" s="32">
        <f t="shared" si="5"/>
        <v>1.7622</v>
      </c>
    </row>
    <row r="66" spans="1:8" x14ac:dyDescent="0.3">
      <c r="A66" s="30">
        <v>28</v>
      </c>
      <c r="B66" s="31" t="s">
        <v>241</v>
      </c>
      <c r="C66" s="30">
        <v>8</v>
      </c>
      <c r="D66" s="168">
        <v>41.45</v>
      </c>
      <c r="E66" s="32">
        <f t="shared" si="4"/>
        <v>331.6</v>
      </c>
      <c r="F66" s="30">
        <v>120</v>
      </c>
      <c r="G66" s="39">
        <v>0.1</v>
      </c>
      <c r="H66" s="32">
        <f t="shared" si="5"/>
        <v>2.4870000000000001</v>
      </c>
    </row>
    <row r="67" spans="1:8" x14ac:dyDescent="0.3">
      <c r="A67" s="30">
        <v>29</v>
      </c>
      <c r="B67" s="31" t="s">
        <v>242</v>
      </c>
      <c r="C67" s="30">
        <v>2</v>
      </c>
      <c r="D67" s="168">
        <v>66.709999999999994</v>
      </c>
      <c r="E67" s="32">
        <f t="shared" si="4"/>
        <v>133.41999999999999</v>
      </c>
      <c r="F67" s="30">
        <v>120</v>
      </c>
      <c r="G67" s="39">
        <v>0.1</v>
      </c>
      <c r="H67" s="32">
        <f t="shared" si="5"/>
        <v>1.0006499999999998</v>
      </c>
    </row>
    <row r="68" spans="1:8" x14ac:dyDescent="0.3">
      <c r="A68" s="30">
        <v>30</v>
      </c>
      <c r="B68" s="31" t="s">
        <v>243</v>
      </c>
      <c r="C68" s="30">
        <v>1</v>
      </c>
      <c r="D68" s="168">
        <v>99.19</v>
      </c>
      <c r="E68" s="32">
        <f t="shared" si="4"/>
        <v>99.19</v>
      </c>
      <c r="F68" s="30">
        <v>120</v>
      </c>
      <c r="G68" s="39">
        <v>0.1</v>
      </c>
      <c r="H68" s="32">
        <f t="shared" si="5"/>
        <v>0.74392500000000006</v>
      </c>
    </row>
    <row r="69" spans="1:8" x14ac:dyDescent="0.3">
      <c r="A69" s="30">
        <v>31</v>
      </c>
      <c r="B69" s="31" t="s">
        <v>244</v>
      </c>
      <c r="C69" s="30">
        <v>1</v>
      </c>
      <c r="D69" s="168">
        <v>1221.9000000000001</v>
      </c>
      <c r="E69" s="32">
        <f t="shared" si="4"/>
        <v>1221.9000000000001</v>
      </c>
      <c r="F69" s="30">
        <v>120</v>
      </c>
      <c r="G69" s="39">
        <v>0.1</v>
      </c>
      <c r="H69" s="32">
        <f t="shared" si="5"/>
        <v>9.1642500000000009</v>
      </c>
    </row>
    <row r="70" spans="1:8" x14ac:dyDescent="0.3">
      <c r="A70" s="30">
        <v>32</v>
      </c>
      <c r="B70" s="31" t="s">
        <v>245</v>
      </c>
      <c r="C70" s="30">
        <v>2</v>
      </c>
      <c r="D70" s="168">
        <v>385.05</v>
      </c>
      <c r="E70" s="32">
        <f t="shared" si="4"/>
        <v>770.1</v>
      </c>
      <c r="F70" s="30">
        <v>120</v>
      </c>
      <c r="G70" s="39">
        <v>0.1</v>
      </c>
      <c r="H70" s="32">
        <f t="shared" si="5"/>
        <v>5.7757500000000004</v>
      </c>
    </row>
    <row r="71" spans="1:8" x14ac:dyDescent="0.3">
      <c r="A71" s="30">
        <v>33</v>
      </c>
      <c r="B71" s="31" t="s">
        <v>246</v>
      </c>
      <c r="C71" s="30">
        <v>1</v>
      </c>
      <c r="D71" s="168">
        <v>915.02</v>
      </c>
      <c r="E71" s="32">
        <f t="shared" si="4"/>
        <v>915.02</v>
      </c>
      <c r="F71" s="30">
        <v>120</v>
      </c>
      <c r="G71" s="39">
        <v>0.1</v>
      </c>
      <c r="H71" s="32">
        <f t="shared" si="5"/>
        <v>6.8626500000000004</v>
      </c>
    </row>
    <row r="72" spans="1:8" x14ac:dyDescent="0.3">
      <c r="A72" s="30">
        <v>34</v>
      </c>
      <c r="B72" s="31" t="s">
        <v>247</v>
      </c>
      <c r="C72" s="30">
        <v>1</v>
      </c>
      <c r="D72" s="168">
        <v>345.75</v>
      </c>
      <c r="E72" s="32">
        <f t="shared" si="4"/>
        <v>345.75</v>
      </c>
      <c r="F72" s="30">
        <v>120</v>
      </c>
      <c r="G72" s="39">
        <v>0.1</v>
      </c>
      <c r="H72" s="32">
        <f t="shared" si="5"/>
        <v>2.5931250000000001</v>
      </c>
    </row>
    <row r="73" spans="1:8" x14ac:dyDescent="0.3">
      <c r="A73" s="30">
        <v>35</v>
      </c>
      <c r="B73" s="31" t="s">
        <v>248</v>
      </c>
      <c r="C73" s="30">
        <v>3</v>
      </c>
      <c r="D73" s="168">
        <v>60.43</v>
      </c>
      <c r="E73" s="32">
        <f t="shared" si="4"/>
        <v>181.29</v>
      </c>
      <c r="F73" s="30">
        <v>120</v>
      </c>
      <c r="G73" s="39">
        <v>0.1</v>
      </c>
      <c r="H73" s="32">
        <f t="shared" si="5"/>
        <v>1.359675</v>
      </c>
    </row>
    <row r="74" spans="1:8" x14ac:dyDescent="0.3">
      <c r="A74" s="30">
        <v>36</v>
      </c>
      <c r="B74" s="31" t="s">
        <v>249</v>
      </c>
      <c r="C74" s="30">
        <v>7</v>
      </c>
      <c r="D74" s="168">
        <v>53.77</v>
      </c>
      <c r="E74" s="32">
        <f t="shared" si="4"/>
        <v>376.39000000000004</v>
      </c>
      <c r="F74" s="30">
        <v>120</v>
      </c>
      <c r="G74" s="39">
        <v>0.1</v>
      </c>
      <c r="H74" s="32">
        <f t="shared" si="5"/>
        <v>2.8229250000000001</v>
      </c>
    </row>
    <row r="75" spans="1:8" x14ac:dyDescent="0.3">
      <c r="A75" s="30">
        <v>37</v>
      </c>
      <c r="B75" s="31" t="s">
        <v>250</v>
      </c>
      <c r="C75" s="30">
        <v>1</v>
      </c>
      <c r="D75" s="168">
        <v>539.61</v>
      </c>
      <c r="E75" s="32">
        <f t="shared" si="4"/>
        <v>539.61</v>
      </c>
      <c r="F75" s="30">
        <v>120</v>
      </c>
      <c r="G75" s="39">
        <v>0.1</v>
      </c>
      <c r="H75" s="32">
        <f t="shared" si="5"/>
        <v>4.0470750000000004</v>
      </c>
    </row>
    <row r="76" spans="1:8" x14ac:dyDescent="0.3">
      <c r="A76" s="30">
        <v>38</v>
      </c>
      <c r="B76" s="31" t="s">
        <v>251</v>
      </c>
      <c r="C76" s="30">
        <v>1</v>
      </c>
      <c r="D76" s="168">
        <v>330.47</v>
      </c>
      <c r="E76" s="32">
        <f t="shared" si="4"/>
        <v>330.47</v>
      </c>
      <c r="F76" s="30">
        <v>120</v>
      </c>
      <c r="G76" s="39">
        <v>0.1</v>
      </c>
      <c r="H76" s="32">
        <f t="shared" si="5"/>
        <v>2.4785249999999999</v>
      </c>
    </row>
    <row r="77" spans="1:8" x14ac:dyDescent="0.3">
      <c r="A77" s="30">
        <v>39</v>
      </c>
      <c r="B77" s="31" t="s">
        <v>252</v>
      </c>
      <c r="C77" s="30">
        <v>2</v>
      </c>
      <c r="D77" s="168">
        <v>129.29</v>
      </c>
      <c r="E77" s="32">
        <f t="shared" si="4"/>
        <v>258.58</v>
      </c>
      <c r="F77" s="30">
        <v>120</v>
      </c>
      <c r="G77" s="39">
        <v>0.1</v>
      </c>
      <c r="H77" s="32">
        <f t="shared" si="5"/>
        <v>1.9393499999999999</v>
      </c>
    </row>
    <row r="78" spans="1:8" x14ac:dyDescent="0.3">
      <c r="A78" s="30">
        <v>40</v>
      </c>
      <c r="B78" s="31" t="s">
        <v>253</v>
      </c>
      <c r="C78" s="30">
        <v>2</v>
      </c>
      <c r="D78" s="168">
        <v>48.64</v>
      </c>
      <c r="E78" s="32">
        <f t="shared" si="4"/>
        <v>97.28</v>
      </c>
      <c r="F78" s="30">
        <v>120</v>
      </c>
      <c r="G78" s="39">
        <v>0.1</v>
      </c>
      <c r="H78" s="32">
        <f t="shared" si="5"/>
        <v>0.72959999999999992</v>
      </c>
    </row>
    <row r="79" spans="1:8" x14ac:dyDescent="0.3">
      <c r="A79" s="30">
        <v>41</v>
      </c>
      <c r="B79" s="31" t="s">
        <v>254</v>
      </c>
      <c r="C79" s="30">
        <v>2</v>
      </c>
      <c r="D79" s="168">
        <v>76.5</v>
      </c>
      <c r="E79" s="32">
        <f t="shared" si="4"/>
        <v>153</v>
      </c>
      <c r="F79" s="30">
        <v>120</v>
      </c>
      <c r="G79" s="39">
        <v>0.1</v>
      </c>
      <c r="H79" s="32">
        <f t="shared" si="5"/>
        <v>1.1475</v>
      </c>
    </row>
    <row r="80" spans="1:8" x14ac:dyDescent="0.3">
      <c r="A80" s="30">
        <v>42</v>
      </c>
      <c r="B80" s="31" t="s">
        <v>255</v>
      </c>
      <c r="C80" s="30">
        <v>2</v>
      </c>
      <c r="D80" s="168">
        <v>54.75</v>
      </c>
      <c r="E80" s="32">
        <f t="shared" si="4"/>
        <v>109.5</v>
      </c>
      <c r="F80" s="30">
        <v>120</v>
      </c>
      <c r="G80" s="39">
        <v>0.1</v>
      </c>
      <c r="H80" s="32">
        <f t="shared" si="5"/>
        <v>0.82124999999999992</v>
      </c>
    </row>
    <row r="81" spans="1:8" x14ac:dyDescent="0.3">
      <c r="A81" s="30">
        <v>43</v>
      </c>
      <c r="B81" s="31" t="s">
        <v>256</v>
      </c>
      <c r="C81" s="30">
        <v>4</v>
      </c>
      <c r="D81" s="168">
        <v>39.200000000000003</v>
      </c>
      <c r="E81" s="32">
        <f t="shared" si="4"/>
        <v>156.80000000000001</v>
      </c>
      <c r="F81" s="30">
        <v>120</v>
      </c>
      <c r="G81" s="39">
        <v>0.1</v>
      </c>
      <c r="H81" s="32">
        <f t="shared" si="5"/>
        <v>1.1759999999999999</v>
      </c>
    </row>
    <row r="82" spans="1:8" x14ac:dyDescent="0.3">
      <c r="A82" s="30">
        <v>44</v>
      </c>
      <c r="B82" s="31" t="s">
        <v>257</v>
      </c>
      <c r="C82" s="30">
        <v>4</v>
      </c>
      <c r="D82" s="168">
        <v>36.46</v>
      </c>
      <c r="E82" s="32">
        <f t="shared" si="4"/>
        <v>145.84</v>
      </c>
      <c r="F82" s="30">
        <v>120</v>
      </c>
      <c r="G82" s="39">
        <v>0.1</v>
      </c>
      <c r="H82" s="32">
        <f t="shared" si="5"/>
        <v>1.0938000000000001</v>
      </c>
    </row>
    <row r="83" spans="1:8" x14ac:dyDescent="0.3">
      <c r="A83" s="30">
        <v>45</v>
      </c>
      <c r="B83" s="31" t="s">
        <v>258</v>
      </c>
      <c r="C83" s="30">
        <v>3</v>
      </c>
      <c r="D83" s="168">
        <v>503.24</v>
      </c>
      <c r="E83" s="32">
        <f t="shared" si="4"/>
        <v>1509.72</v>
      </c>
      <c r="F83" s="30">
        <v>120</v>
      </c>
      <c r="G83" s="39">
        <v>0.1</v>
      </c>
      <c r="H83" s="32">
        <f t="shared" si="5"/>
        <v>11.322900000000001</v>
      </c>
    </row>
    <row r="84" spans="1:8" x14ac:dyDescent="0.3">
      <c r="A84" s="30">
        <v>46</v>
      </c>
      <c r="B84" s="31" t="s">
        <v>259</v>
      </c>
      <c r="C84" s="30">
        <v>3</v>
      </c>
      <c r="D84" s="168">
        <v>177.83</v>
      </c>
      <c r="E84" s="32">
        <f t="shared" si="4"/>
        <v>533.49</v>
      </c>
      <c r="F84" s="30">
        <v>120</v>
      </c>
      <c r="G84" s="39">
        <v>0.1</v>
      </c>
      <c r="H84" s="32">
        <f t="shared" si="5"/>
        <v>4.0011749999999999</v>
      </c>
    </row>
    <row r="85" spans="1:8" ht="28" x14ac:dyDescent="0.3">
      <c r="A85" s="30">
        <v>47</v>
      </c>
      <c r="B85" s="31" t="s">
        <v>260</v>
      </c>
      <c r="C85" s="30">
        <v>1</v>
      </c>
      <c r="D85" s="168">
        <v>1596.49</v>
      </c>
      <c r="E85" s="32">
        <f t="shared" si="4"/>
        <v>1596.49</v>
      </c>
      <c r="F85" s="30">
        <v>120</v>
      </c>
      <c r="G85" s="39">
        <v>0.1</v>
      </c>
      <c r="H85" s="32">
        <f t="shared" si="5"/>
        <v>11.973674999999998</v>
      </c>
    </row>
    <row r="86" spans="1:8" x14ac:dyDescent="0.3">
      <c r="A86" s="30">
        <v>48</v>
      </c>
      <c r="B86" s="31" t="s">
        <v>261</v>
      </c>
      <c r="C86" s="30">
        <v>1</v>
      </c>
      <c r="D86" s="168">
        <v>883.46</v>
      </c>
      <c r="E86" s="32">
        <f t="shared" si="4"/>
        <v>883.46</v>
      </c>
      <c r="F86" s="30">
        <v>120</v>
      </c>
      <c r="G86" s="39">
        <v>0.1</v>
      </c>
      <c r="H86" s="32">
        <f t="shared" si="5"/>
        <v>6.6259500000000005</v>
      </c>
    </row>
    <row r="87" spans="1:8" x14ac:dyDescent="0.3">
      <c r="A87" s="30">
        <v>49</v>
      </c>
      <c r="B87" s="31" t="s">
        <v>262</v>
      </c>
      <c r="C87" s="30">
        <v>2</v>
      </c>
      <c r="D87" s="168">
        <v>100.3</v>
      </c>
      <c r="E87" s="32">
        <f t="shared" si="4"/>
        <v>200.6</v>
      </c>
      <c r="F87" s="30">
        <v>120</v>
      </c>
      <c r="G87" s="39">
        <v>0.1</v>
      </c>
      <c r="H87" s="32">
        <f t="shared" si="5"/>
        <v>1.5044999999999999</v>
      </c>
    </row>
    <row r="88" spans="1:8" x14ac:dyDescent="0.3">
      <c r="A88" s="30">
        <v>50</v>
      </c>
      <c r="B88" s="31" t="s">
        <v>263</v>
      </c>
      <c r="C88" s="30">
        <v>1</v>
      </c>
      <c r="D88" s="168">
        <v>129.82</v>
      </c>
      <c r="E88" s="32">
        <f t="shared" si="4"/>
        <v>129.82</v>
      </c>
      <c r="F88" s="30">
        <v>120</v>
      </c>
      <c r="G88" s="39">
        <v>0.1</v>
      </c>
      <c r="H88" s="32">
        <f t="shared" si="5"/>
        <v>0.9736499999999999</v>
      </c>
    </row>
    <row r="89" spans="1:8" x14ac:dyDescent="0.3">
      <c r="A89" s="30">
        <v>51</v>
      </c>
      <c r="B89" s="31" t="s">
        <v>264</v>
      </c>
      <c r="C89" s="30">
        <v>2</v>
      </c>
      <c r="D89" s="168">
        <v>122.03</v>
      </c>
      <c r="E89" s="32">
        <f t="shared" si="4"/>
        <v>244.06</v>
      </c>
      <c r="F89" s="30">
        <v>120</v>
      </c>
      <c r="G89" s="39">
        <v>0.1</v>
      </c>
      <c r="H89" s="32">
        <f t="shared" si="5"/>
        <v>1.8304499999999999</v>
      </c>
    </row>
    <row r="90" spans="1:8" x14ac:dyDescent="0.3">
      <c r="A90" s="30">
        <v>52</v>
      </c>
      <c r="B90" s="31" t="s">
        <v>265</v>
      </c>
      <c r="C90" s="30">
        <v>2</v>
      </c>
      <c r="D90" s="168">
        <v>196</v>
      </c>
      <c r="E90" s="32">
        <f t="shared" si="4"/>
        <v>392</v>
      </c>
      <c r="F90" s="30">
        <v>120</v>
      </c>
      <c r="G90" s="39">
        <v>0.1</v>
      </c>
      <c r="H90" s="32">
        <f t="shared" si="5"/>
        <v>2.94</v>
      </c>
    </row>
    <row r="91" spans="1:8" x14ac:dyDescent="0.3">
      <c r="A91" s="30">
        <v>53</v>
      </c>
      <c r="B91" s="31" t="s">
        <v>266</v>
      </c>
      <c r="C91" s="30">
        <v>1</v>
      </c>
      <c r="D91" s="168">
        <v>85.57</v>
      </c>
      <c r="E91" s="32">
        <f t="shared" si="4"/>
        <v>85.57</v>
      </c>
      <c r="F91" s="30">
        <v>120</v>
      </c>
      <c r="G91" s="39">
        <v>0.1</v>
      </c>
      <c r="H91" s="32">
        <f t="shared" si="5"/>
        <v>0.64177499999999987</v>
      </c>
    </row>
    <row r="92" spans="1:8" ht="28" x14ac:dyDescent="0.3">
      <c r="A92" s="30">
        <v>54</v>
      </c>
      <c r="B92" s="31" t="s">
        <v>267</v>
      </c>
      <c r="C92" s="30">
        <v>1</v>
      </c>
      <c r="D92" s="168">
        <v>141.19999999999999</v>
      </c>
      <c r="E92" s="32">
        <f t="shared" si="4"/>
        <v>141.19999999999999</v>
      </c>
      <c r="F92" s="30">
        <v>120</v>
      </c>
      <c r="G92" s="39">
        <v>0.1</v>
      </c>
      <c r="H92" s="32">
        <f t="shared" si="5"/>
        <v>1.0589999999999999</v>
      </c>
    </row>
    <row r="93" spans="1:8" x14ac:dyDescent="0.3">
      <c r="A93" s="30">
        <v>55</v>
      </c>
      <c r="B93" s="31" t="s">
        <v>268</v>
      </c>
      <c r="C93" s="30">
        <v>1</v>
      </c>
      <c r="D93" s="168">
        <v>134.71</v>
      </c>
      <c r="E93" s="32">
        <f t="shared" si="4"/>
        <v>134.71</v>
      </c>
      <c r="F93" s="30">
        <v>120</v>
      </c>
      <c r="G93" s="39">
        <v>0.1</v>
      </c>
      <c r="H93" s="32">
        <f t="shared" si="5"/>
        <v>1.0103250000000001</v>
      </c>
    </row>
    <row r="94" spans="1:8" x14ac:dyDescent="0.3">
      <c r="A94" s="30">
        <v>56</v>
      </c>
      <c r="B94" s="31" t="s">
        <v>269</v>
      </c>
      <c r="C94" s="30">
        <v>1</v>
      </c>
      <c r="D94" s="168">
        <v>454.45</v>
      </c>
      <c r="E94" s="32">
        <f t="shared" si="4"/>
        <v>454.45</v>
      </c>
      <c r="F94" s="30">
        <v>120</v>
      </c>
      <c r="G94" s="39">
        <v>0.1</v>
      </c>
      <c r="H94" s="32">
        <f t="shared" si="5"/>
        <v>3.4083749999999999</v>
      </c>
    </row>
    <row r="95" spans="1:8" x14ac:dyDescent="0.3">
      <c r="A95" s="30">
        <v>57</v>
      </c>
      <c r="B95" s="31" t="s">
        <v>270</v>
      </c>
      <c r="C95" s="30">
        <v>3</v>
      </c>
      <c r="D95" s="168">
        <v>50.73</v>
      </c>
      <c r="E95" s="32">
        <f t="shared" si="4"/>
        <v>152.19</v>
      </c>
      <c r="F95" s="30">
        <v>120</v>
      </c>
      <c r="G95" s="39">
        <v>0.1</v>
      </c>
      <c r="H95" s="32">
        <f t="shared" si="5"/>
        <v>1.1414250000000001</v>
      </c>
    </row>
    <row r="96" spans="1:8" x14ac:dyDescent="0.3">
      <c r="A96" s="30">
        <v>58</v>
      </c>
      <c r="B96" s="31" t="s">
        <v>271</v>
      </c>
      <c r="C96" s="30">
        <v>2</v>
      </c>
      <c r="D96" s="168">
        <v>396.86</v>
      </c>
      <c r="E96" s="32">
        <f t="shared" si="4"/>
        <v>793.72</v>
      </c>
      <c r="F96" s="30">
        <v>120</v>
      </c>
      <c r="G96" s="39">
        <v>0.1</v>
      </c>
      <c r="H96" s="32">
        <f t="shared" si="5"/>
        <v>5.9528999999999996</v>
      </c>
    </row>
    <row r="97" spans="1:8" x14ac:dyDescent="0.3">
      <c r="A97" s="30">
        <v>59</v>
      </c>
      <c r="B97" s="31" t="s">
        <v>272</v>
      </c>
      <c r="C97" s="30">
        <v>3</v>
      </c>
      <c r="D97" s="168">
        <v>838.6</v>
      </c>
      <c r="E97" s="32">
        <f t="shared" si="4"/>
        <v>2515.8000000000002</v>
      </c>
      <c r="F97" s="30">
        <v>120</v>
      </c>
      <c r="G97" s="39">
        <v>0.1</v>
      </c>
      <c r="H97" s="32">
        <f t="shared" si="5"/>
        <v>18.868500000000001</v>
      </c>
    </row>
    <row r="98" spans="1:8" ht="28" x14ac:dyDescent="0.3">
      <c r="A98" s="30">
        <v>60</v>
      </c>
      <c r="B98" s="31" t="s">
        <v>273</v>
      </c>
      <c r="C98" s="30">
        <v>1</v>
      </c>
      <c r="D98" s="168">
        <v>350.64</v>
      </c>
      <c r="E98" s="32">
        <f t="shared" si="4"/>
        <v>350.64</v>
      </c>
      <c r="F98" s="30">
        <v>120</v>
      </c>
      <c r="G98" s="39">
        <v>0.1</v>
      </c>
      <c r="H98" s="32">
        <f t="shared" si="5"/>
        <v>2.6297999999999999</v>
      </c>
    </row>
    <row r="99" spans="1:8" x14ac:dyDescent="0.3">
      <c r="A99" s="30">
        <v>61</v>
      </c>
      <c r="B99" s="31" t="s">
        <v>274</v>
      </c>
      <c r="C99" s="30">
        <v>2</v>
      </c>
      <c r="D99" s="168">
        <v>166.56</v>
      </c>
      <c r="E99" s="32">
        <f t="shared" si="4"/>
        <v>333.12</v>
      </c>
      <c r="F99" s="30">
        <v>120</v>
      </c>
      <c r="G99" s="39">
        <v>0.1</v>
      </c>
      <c r="H99" s="32">
        <f t="shared" si="5"/>
        <v>2.4983999999999997</v>
      </c>
    </row>
    <row r="100" spans="1:8" x14ac:dyDescent="0.3">
      <c r="A100" s="30">
        <v>62</v>
      </c>
      <c r="B100" s="31" t="s">
        <v>275</v>
      </c>
      <c r="C100" s="30">
        <v>1</v>
      </c>
      <c r="D100" s="168">
        <v>303.3</v>
      </c>
      <c r="E100" s="32">
        <f t="shared" si="4"/>
        <v>303.3</v>
      </c>
      <c r="F100" s="30">
        <v>120</v>
      </c>
      <c r="G100" s="39">
        <v>0.1</v>
      </c>
      <c r="H100" s="32">
        <f t="shared" si="5"/>
        <v>2.27475</v>
      </c>
    </row>
    <row r="101" spans="1:8" x14ac:dyDescent="0.3">
      <c r="A101" s="30">
        <v>63</v>
      </c>
      <c r="B101" s="31" t="s">
        <v>276</v>
      </c>
      <c r="C101" s="30">
        <v>1</v>
      </c>
      <c r="D101" s="168">
        <v>148.49</v>
      </c>
      <c r="E101" s="32">
        <f t="shared" si="4"/>
        <v>148.49</v>
      </c>
      <c r="F101" s="30">
        <v>120</v>
      </c>
      <c r="G101" s="39">
        <v>0.1</v>
      </c>
      <c r="H101" s="32">
        <f t="shared" si="5"/>
        <v>1.1136750000000002</v>
      </c>
    </row>
    <row r="102" spans="1:8" x14ac:dyDescent="0.3">
      <c r="A102" s="30">
        <v>64</v>
      </c>
      <c r="B102" s="31" t="s">
        <v>277</v>
      </c>
      <c r="C102" s="30">
        <v>3</v>
      </c>
      <c r="D102" s="168">
        <v>666.43</v>
      </c>
      <c r="E102" s="32">
        <f t="shared" si="4"/>
        <v>1999.29</v>
      </c>
      <c r="F102" s="30">
        <v>120</v>
      </c>
      <c r="G102" s="39">
        <v>0.1</v>
      </c>
      <c r="H102" s="32">
        <f t="shared" si="5"/>
        <v>14.994674999999999</v>
      </c>
    </row>
    <row r="103" spans="1:8" x14ac:dyDescent="0.3">
      <c r="A103" s="30">
        <v>65</v>
      </c>
      <c r="B103" s="31" t="s">
        <v>278</v>
      </c>
      <c r="C103" s="30">
        <v>3</v>
      </c>
      <c r="D103" s="168">
        <v>65.52</v>
      </c>
      <c r="E103" s="32">
        <f t="shared" si="4"/>
        <v>196.56</v>
      </c>
      <c r="F103" s="30">
        <v>120</v>
      </c>
      <c r="G103" s="39">
        <v>0.1</v>
      </c>
      <c r="H103" s="32">
        <f t="shared" si="5"/>
        <v>1.4742</v>
      </c>
    </row>
    <row r="104" spans="1:8" x14ac:dyDescent="0.3">
      <c r="A104" s="30">
        <v>66</v>
      </c>
      <c r="B104" s="31" t="s">
        <v>279</v>
      </c>
      <c r="C104" s="30">
        <v>7</v>
      </c>
      <c r="D104" s="168">
        <v>82.5</v>
      </c>
      <c r="E104" s="32">
        <f t="shared" ref="E104:E167" si="6">C104*D104</f>
        <v>577.5</v>
      </c>
      <c r="F104" s="30">
        <v>120</v>
      </c>
      <c r="G104" s="39">
        <v>0.1</v>
      </c>
      <c r="H104" s="32">
        <f t="shared" ref="H104:H167" si="7">(E104-(E104*G104))/(F104)</f>
        <v>4.3312499999999998</v>
      </c>
    </row>
    <row r="105" spans="1:8" x14ac:dyDescent="0.3">
      <c r="A105" s="30">
        <v>67</v>
      </c>
      <c r="B105" s="31" t="s">
        <v>280</v>
      </c>
      <c r="C105" s="30">
        <v>8</v>
      </c>
      <c r="D105" s="168">
        <v>58.7</v>
      </c>
      <c r="E105" s="32">
        <f t="shared" si="6"/>
        <v>469.6</v>
      </c>
      <c r="F105" s="30">
        <v>120</v>
      </c>
      <c r="G105" s="39">
        <v>0.1</v>
      </c>
      <c r="H105" s="32">
        <f t="shared" si="7"/>
        <v>3.5219999999999998</v>
      </c>
    </row>
    <row r="106" spans="1:8" x14ac:dyDescent="0.3">
      <c r="A106" s="30">
        <v>68</v>
      </c>
      <c r="B106" s="31" t="s">
        <v>281</v>
      </c>
      <c r="C106" s="30">
        <v>1</v>
      </c>
      <c r="D106" s="168">
        <v>103.46</v>
      </c>
      <c r="E106" s="32">
        <f t="shared" si="6"/>
        <v>103.46</v>
      </c>
      <c r="F106" s="30">
        <v>120</v>
      </c>
      <c r="G106" s="39">
        <v>0.1</v>
      </c>
      <c r="H106" s="32">
        <f t="shared" si="7"/>
        <v>0.77594999999999992</v>
      </c>
    </row>
    <row r="107" spans="1:8" x14ac:dyDescent="0.3">
      <c r="A107" s="30">
        <v>69</v>
      </c>
      <c r="B107" s="31" t="s">
        <v>282</v>
      </c>
      <c r="C107" s="30">
        <v>7</v>
      </c>
      <c r="D107" s="168">
        <v>166.67</v>
      </c>
      <c r="E107" s="32">
        <f t="shared" si="6"/>
        <v>1166.6899999999998</v>
      </c>
      <c r="F107" s="30">
        <v>120</v>
      </c>
      <c r="G107" s="39">
        <v>0.1</v>
      </c>
      <c r="H107" s="32">
        <f t="shared" si="7"/>
        <v>8.7501749999999969</v>
      </c>
    </row>
    <row r="108" spans="1:8" x14ac:dyDescent="0.3">
      <c r="A108" s="30">
        <v>70</v>
      </c>
      <c r="B108" s="31" t="s">
        <v>283</v>
      </c>
      <c r="C108" s="30">
        <v>1</v>
      </c>
      <c r="D108" s="168">
        <v>74.459999999999994</v>
      </c>
      <c r="E108" s="32">
        <f t="shared" si="6"/>
        <v>74.459999999999994</v>
      </c>
      <c r="F108" s="30">
        <v>120</v>
      </c>
      <c r="G108" s="39">
        <v>0.1</v>
      </c>
      <c r="H108" s="32">
        <f t="shared" si="7"/>
        <v>0.55845</v>
      </c>
    </row>
    <row r="109" spans="1:8" x14ac:dyDescent="0.3">
      <c r="A109" s="30">
        <v>71</v>
      </c>
      <c r="B109" s="31" t="s">
        <v>284</v>
      </c>
      <c r="C109" s="30">
        <v>2</v>
      </c>
      <c r="D109" s="168">
        <v>61.48</v>
      </c>
      <c r="E109" s="32">
        <f t="shared" si="6"/>
        <v>122.96</v>
      </c>
      <c r="F109" s="30">
        <v>120</v>
      </c>
      <c r="G109" s="39">
        <v>0.1</v>
      </c>
      <c r="H109" s="32">
        <f t="shared" si="7"/>
        <v>0.92219999999999991</v>
      </c>
    </row>
    <row r="110" spans="1:8" x14ac:dyDescent="0.3">
      <c r="A110" s="30">
        <v>72</v>
      </c>
      <c r="B110" s="31" t="s">
        <v>285</v>
      </c>
      <c r="C110" s="30">
        <v>7</v>
      </c>
      <c r="D110" s="168">
        <v>191.61</v>
      </c>
      <c r="E110" s="32">
        <f t="shared" si="6"/>
        <v>1341.27</v>
      </c>
      <c r="F110" s="30">
        <v>120</v>
      </c>
      <c r="G110" s="39">
        <v>0.1</v>
      </c>
      <c r="H110" s="32">
        <f t="shared" si="7"/>
        <v>10.059525000000001</v>
      </c>
    </row>
    <row r="111" spans="1:8" x14ac:dyDescent="0.3">
      <c r="A111" s="30">
        <v>73</v>
      </c>
      <c r="B111" s="31" t="s">
        <v>286</v>
      </c>
      <c r="C111" s="30">
        <v>3</v>
      </c>
      <c r="D111" s="168">
        <v>50.75</v>
      </c>
      <c r="E111" s="32">
        <f t="shared" si="6"/>
        <v>152.25</v>
      </c>
      <c r="F111" s="30">
        <v>120</v>
      </c>
      <c r="G111" s="39">
        <v>0.1</v>
      </c>
      <c r="H111" s="32">
        <f t="shared" si="7"/>
        <v>1.141875</v>
      </c>
    </row>
    <row r="112" spans="1:8" x14ac:dyDescent="0.3">
      <c r="A112" s="30">
        <v>74</v>
      </c>
      <c r="B112" s="31" t="s">
        <v>287</v>
      </c>
      <c r="C112" s="30">
        <v>1</v>
      </c>
      <c r="D112" s="168">
        <v>581.29</v>
      </c>
      <c r="E112" s="32">
        <f t="shared" si="6"/>
        <v>581.29</v>
      </c>
      <c r="F112" s="30">
        <v>120</v>
      </c>
      <c r="G112" s="39">
        <v>0.1</v>
      </c>
      <c r="H112" s="32">
        <f t="shared" si="7"/>
        <v>4.3596749999999993</v>
      </c>
    </row>
    <row r="113" spans="1:8" x14ac:dyDescent="0.3">
      <c r="A113" s="30">
        <v>75</v>
      </c>
      <c r="B113" s="31" t="s">
        <v>288</v>
      </c>
      <c r="C113" s="30">
        <v>1</v>
      </c>
      <c r="D113" s="168">
        <v>541.77</v>
      </c>
      <c r="E113" s="32">
        <f t="shared" si="6"/>
        <v>541.77</v>
      </c>
      <c r="F113" s="30">
        <v>120</v>
      </c>
      <c r="G113" s="39">
        <v>0.1</v>
      </c>
      <c r="H113" s="32">
        <f t="shared" si="7"/>
        <v>4.063275</v>
      </c>
    </row>
    <row r="114" spans="1:8" x14ac:dyDescent="0.3">
      <c r="A114" s="30">
        <v>76</v>
      </c>
      <c r="B114" s="31" t="s">
        <v>289</v>
      </c>
      <c r="C114" s="30">
        <v>1</v>
      </c>
      <c r="D114" s="168">
        <v>93.47</v>
      </c>
      <c r="E114" s="32">
        <f t="shared" si="6"/>
        <v>93.47</v>
      </c>
      <c r="F114" s="30">
        <v>120</v>
      </c>
      <c r="G114" s="39">
        <v>0.1</v>
      </c>
      <c r="H114" s="32">
        <f t="shared" si="7"/>
        <v>0.70102500000000001</v>
      </c>
    </row>
    <row r="115" spans="1:8" x14ac:dyDescent="0.3">
      <c r="A115" s="30">
        <v>77</v>
      </c>
      <c r="B115" s="31" t="s">
        <v>290</v>
      </c>
      <c r="C115" s="30">
        <v>1</v>
      </c>
      <c r="D115" s="168">
        <v>66.34</v>
      </c>
      <c r="E115" s="32">
        <f t="shared" si="6"/>
        <v>66.34</v>
      </c>
      <c r="F115" s="30">
        <v>120</v>
      </c>
      <c r="G115" s="39">
        <v>0.1</v>
      </c>
      <c r="H115" s="32">
        <f t="shared" si="7"/>
        <v>0.49755000000000005</v>
      </c>
    </row>
    <row r="116" spans="1:8" x14ac:dyDescent="0.3">
      <c r="A116" s="30">
        <v>78</v>
      </c>
      <c r="B116" s="31" t="s">
        <v>291</v>
      </c>
      <c r="C116" s="30">
        <v>3</v>
      </c>
      <c r="D116" s="168">
        <v>38.450000000000003</v>
      </c>
      <c r="E116" s="32">
        <f t="shared" si="6"/>
        <v>115.35000000000001</v>
      </c>
      <c r="F116" s="30">
        <v>120</v>
      </c>
      <c r="G116" s="39">
        <v>0.1</v>
      </c>
      <c r="H116" s="32">
        <f t="shared" si="7"/>
        <v>0.86512500000000014</v>
      </c>
    </row>
    <row r="117" spans="1:8" x14ac:dyDescent="0.3">
      <c r="A117" s="30">
        <v>79</v>
      </c>
      <c r="B117" s="31" t="s">
        <v>292</v>
      </c>
      <c r="C117" s="30">
        <v>3</v>
      </c>
      <c r="D117" s="168">
        <v>38.96</v>
      </c>
      <c r="E117" s="32">
        <f t="shared" si="6"/>
        <v>116.88</v>
      </c>
      <c r="F117" s="30">
        <v>120</v>
      </c>
      <c r="G117" s="39">
        <v>0.1</v>
      </c>
      <c r="H117" s="32">
        <f t="shared" si="7"/>
        <v>0.87659999999999993</v>
      </c>
    </row>
    <row r="118" spans="1:8" x14ac:dyDescent="0.3">
      <c r="A118" s="30">
        <v>80</v>
      </c>
      <c r="B118" s="31" t="s">
        <v>293</v>
      </c>
      <c r="C118" s="30">
        <v>3</v>
      </c>
      <c r="D118" s="168">
        <v>54.51</v>
      </c>
      <c r="E118" s="32">
        <f t="shared" si="6"/>
        <v>163.53</v>
      </c>
      <c r="F118" s="30">
        <v>120</v>
      </c>
      <c r="G118" s="39">
        <v>0.1</v>
      </c>
      <c r="H118" s="32">
        <f t="shared" si="7"/>
        <v>1.226475</v>
      </c>
    </row>
    <row r="119" spans="1:8" x14ac:dyDescent="0.3">
      <c r="A119" s="30">
        <v>81</v>
      </c>
      <c r="B119" s="31" t="s">
        <v>294</v>
      </c>
      <c r="C119" s="30">
        <v>3</v>
      </c>
      <c r="D119" s="168">
        <v>35.81</v>
      </c>
      <c r="E119" s="32">
        <f t="shared" si="6"/>
        <v>107.43</v>
      </c>
      <c r="F119" s="30">
        <v>120</v>
      </c>
      <c r="G119" s="39">
        <v>0.1</v>
      </c>
      <c r="H119" s="32">
        <f t="shared" si="7"/>
        <v>0.80572500000000014</v>
      </c>
    </row>
    <row r="120" spans="1:8" x14ac:dyDescent="0.3">
      <c r="A120" s="30">
        <v>82</v>
      </c>
      <c r="B120" s="31" t="s">
        <v>295</v>
      </c>
      <c r="C120" s="30">
        <v>3</v>
      </c>
      <c r="D120" s="168">
        <v>26.59</v>
      </c>
      <c r="E120" s="32">
        <f t="shared" si="6"/>
        <v>79.77</v>
      </c>
      <c r="F120" s="30">
        <v>120</v>
      </c>
      <c r="G120" s="39">
        <v>0.1</v>
      </c>
      <c r="H120" s="32">
        <f t="shared" si="7"/>
        <v>0.59827499999999989</v>
      </c>
    </row>
    <row r="121" spans="1:8" x14ac:dyDescent="0.3">
      <c r="A121" s="30">
        <v>83</v>
      </c>
      <c r="B121" s="31" t="s">
        <v>296</v>
      </c>
      <c r="C121" s="30">
        <v>2</v>
      </c>
      <c r="D121" s="168">
        <v>34.340000000000003</v>
      </c>
      <c r="E121" s="32">
        <f t="shared" si="6"/>
        <v>68.680000000000007</v>
      </c>
      <c r="F121" s="30">
        <v>120</v>
      </c>
      <c r="G121" s="39">
        <v>0.1</v>
      </c>
      <c r="H121" s="32">
        <f t="shared" si="7"/>
        <v>0.5151</v>
      </c>
    </row>
    <row r="122" spans="1:8" x14ac:dyDescent="0.3">
      <c r="A122" s="30">
        <v>84</v>
      </c>
      <c r="B122" s="31" t="s">
        <v>297</v>
      </c>
      <c r="C122" s="30">
        <v>3</v>
      </c>
      <c r="D122" s="168">
        <v>40.67</v>
      </c>
      <c r="E122" s="32">
        <f t="shared" si="6"/>
        <v>122.01</v>
      </c>
      <c r="F122" s="30">
        <v>120</v>
      </c>
      <c r="G122" s="39">
        <v>0.1</v>
      </c>
      <c r="H122" s="32">
        <f t="shared" si="7"/>
        <v>0.91507499999999997</v>
      </c>
    </row>
    <row r="123" spans="1:8" x14ac:dyDescent="0.3">
      <c r="A123" s="30">
        <v>85</v>
      </c>
      <c r="B123" s="31" t="s">
        <v>298</v>
      </c>
      <c r="C123" s="30">
        <v>8</v>
      </c>
      <c r="D123" s="168">
        <v>57.08</v>
      </c>
      <c r="E123" s="32">
        <f t="shared" si="6"/>
        <v>456.64</v>
      </c>
      <c r="F123" s="30">
        <v>120</v>
      </c>
      <c r="G123" s="39">
        <v>0.1</v>
      </c>
      <c r="H123" s="32">
        <f t="shared" si="7"/>
        <v>3.4247999999999998</v>
      </c>
    </row>
    <row r="124" spans="1:8" x14ac:dyDescent="0.3">
      <c r="A124" s="30">
        <v>86</v>
      </c>
      <c r="B124" s="31" t="s">
        <v>299</v>
      </c>
      <c r="C124" s="30">
        <v>1</v>
      </c>
      <c r="D124" s="168">
        <v>48.83</v>
      </c>
      <c r="E124" s="32">
        <f t="shared" si="6"/>
        <v>48.83</v>
      </c>
      <c r="F124" s="30">
        <v>120</v>
      </c>
      <c r="G124" s="39">
        <v>0.1</v>
      </c>
      <c r="H124" s="32">
        <f t="shared" si="7"/>
        <v>0.36622499999999997</v>
      </c>
    </row>
    <row r="125" spans="1:8" x14ac:dyDescent="0.3">
      <c r="A125" s="30">
        <v>87</v>
      </c>
      <c r="B125" s="31" t="s">
        <v>300</v>
      </c>
      <c r="C125" s="30">
        <v>1</v>
      </c>
      <c r="D125" s="168">
        <v>228.67</v>
      </c>
      <c r="E125" s="32">
        <f t="shared" si="6"/>
        <v>228.67</v>
      </c>
      <c r="F125" s="30">
        <v>120</v>
      </c>
      <c r="G125" s="39">
        <v>0.1</v>
      </c>
      <c r="H125" s="32">
        <f t="shared" si="7"/>
        <v>1.715025</v>
      </c>
    </row>
    <row r="126" spans="1:8" x14ac:dyDescent="0.3">
      <c r="A126" s="30">
        <v>88</v>
      </c>
      <c r="B126" s="31" t="s">
        <v>301</v>
      </c>
      <c r="C126" s="30">
        <v>15</v>
      </c>
      <c r="D126" s="168">
        <v>177.33</v>
      </c>
      <c r="E126" s="32">
        <f t="shared" si="6"/>
        <v>2659.9500000000003</v>
      </c>
      <c r="F126" s="30">
        <v>120</v>
      </c>
      <c r="G126" s="39">
        <v>0.1</v>
      </c>
      <c r="H126" s="32">
        <f t="shared" si="7"/>
        <v>19.949625000000005</v>
      </c>
    </row>
    <row r="127" spans="1:8" x14ac:dyDescent="0.3">
      <c r="A127" s="30">
        <v>89</v>
      </c>
      <c r="B127" s="31" t="s">
        <v>302</v>
      </c>
      <c r="C127" s="30">
        <v>15</v>
      </c>
      <c r="D127" s="168">
        <v>105.95</v>
      </c>
      <c r="E127" s="32">
        <f t="shared" si="6"/>
        <v>1589.25</v>
      </c>
      <c r="F127" s="30">
        <v>120</v>
      </c>
      <c r="G127" s="39">
        <v>0.1</v>
      </c>
      <c r="H127" s="32">
        <f t="shared" si="7"/>
        <v>11.919375</v>
      </c>
    </row>
    <row r="128" spans="1:8" x14ac:dyDescent="0.3">
      <c r="A128" s="30">
        <v>90</v>
      </c>
      <c r="B128" s="31" t="s">
        <v>303</v>
      </c>
      <c r="C128" s="30">
        <v>15</v>
      </c>
      <c r="D128" s="168">
        <v>67.22</v>
      </c>
      <c r="E128" s="32">
        <f t="shared" si="6"/>
        <v>1008.3</v>
      </c>
      <c r="F128" s="30">
        <v>120</v>
      </c>
      <c r="G128" s="39">
        <v>0.1</v>
      </c>
      <c r="H128" s="32">
        <f t="shared" si="7"/>
        <v>7.5622499999999997</v>
      </c>
    </row>
    <row r="129" spans="1:8" x14ac:dyDescent="0.3">
      <c r="A129" s="30">
        <v>91</v>
      </c>
      <c r="B129" s="31" t="s">
        <v>304</v>
      </c>
      <c r="C129" s="30">
        <v>1</v>
      </c>
      <c r="D129" s="168">
        <v>121.83</v>
      </c>
      <c r="E129" s="32">
        <f t="shared" si="6"/>
        <v>121.83</v>
      </c>
      <c r="F129" s="30">
        <v>120</v>
      </c>
      <c r="G129" s="39">
        <v>0.1</v>
      </c>
      <c r="H129" s="32">
        <f t="shared" si="7"/>
        <v>0.9137249999999999</v>
      </c>
    </row>
    <row r="130" spans="1:8" x14ac:dyDescent="0.3">
      <c r="A130" s="30">
        <v>92</v>
      </c>
      <c r="B130" s="31" t="s">
        <v>305</v>
      </c>
      <c r="C130" s="30">
        <v>14</v>
      </c>
      <c r="D130" s="168">
        <v>68.61</v>
      </c>
      <c r="E130" s="32">
        <f t="shared" si="6"/>
        <v>960.54</v>
      </c>
      <c r="F130" s="30">
        <v>120</v>
      </c>
      <c r="G130" s="39">
        <v>0.1</v>
      </c>
      <c r="H130" s="32">
        <f t="shared" si="7"/>
        <v>7.2040499999999996</v>
      </c>
    </row>
    <row r="131" spans="1:8" x14ac:dyDescent="0.3">
      <c r="A131" s="30">
        <v>93</v>
      </c>
      <c r="B131" s="31" t="s">
        <v>306</v>
      </c>
      <c r="C131" s="30">
        <v>2</v>
      </c>
      <c r="D131" s="168">
        <v>29.68</v>
      </c>
      <c r="E131" s="32">
        <f t="shared" si="6"/>
        <v>59.36</v>
      </c>
      <c r="F131" s="30">
        <v>120</v>
      </c>
      <c r="G131" s="39">
        <v>0.1</v>
      </c>
      <c r="H131" s="32">
        <f t="shared" si="7"/>
        <v>0.44519999999999998</v>
      </c>
    </row>
    <row r="132" spans="1:8" x14ac:dyDescent="0.3">
      <c r="A132" s="30">
        <v>94</v>
      </c>
      <c r="B132" s="31" t="s">
        <v>307</v>
      </c>
      <c r="C132" s="30">
        <v>2</v>
      </c>
      <c r="D132" s="168">
        <v>128.85</v>
      </c>
      <c r="E132" s="32">
        <f t="shared" si="6"/>
        <v>257.7</v>
      </c>
      <c r="F132" s="30">
        <v>120</v>
      </c>
      <c r="G132" s="39">
        <v>0.1</v>
      </c>
      <c r="H132" s="32">
        <f t="shared" si="7"/>
        <v>1.9327499999999997</v>
      </c>
    </row>
    <row r="133" spans="1:8" x14ac:dyDescent="0.3">
      <c r="A133" s="30">
        <v>95</v>
      </c>
      <c r="B133" s="31" t="s">
        <v>308</v>
      </c>
      <c r="C133" s="30">
        <v>7</v>
      </c>
      <c r="D133" s="168">
        <v>57.76</v>
      </c>
      <c r="E133" s="32">
        <f t="shared" si="6"/>
        <v>404.32</v>
      </c>
      <c r="F133" s="30">
        <v>120</v>
      </c>
      <c r="G133" s="39">
        <v>0.1</v>
      </c>
      <c r="H133" s="32">
        <f t="shared" si="7"/>
        <v>3.0324</v>
      </c>
    </row>
    <row r="134" spans="1:8" x14ac:dyDescent="0.3">
      <c r="A134" s="30">
        <v>96</v>
      </c>
      <c r="B134" s="31" t="s">
        <v>309</v>
      </c>
      <c r="C134" s="30">
        <v>2</v>
      </c>
      <c r="D134" s="168">
        <v>196.49</v>
      </c>
      <c r="E134" s="32">
        <f t="shared" si="6"/>
        <v>392.98</v>
      </c>
      <c r="F134" s="30">
        <v>120</v>
      </c>
      <c r="G134" s="39">
        <v>0.1</v>
      </c>
      <c r="H134" s="32">
        <f t="shared" si="7"/>
        <v>2.9473500000000001</v>
      </c>
    </row>
    <row r="135" spans="1:8" x14ac:dyDescent="0.3">
      <c r="A135" s="30">
        <v>97</v>
      </c>
      <c r="B135" s="31" t="s">
        <v>310</v>
      </c>
      <c r="C135" s="30">
        <v>2</v>
      </c>
      <c r="D135" s="168">
        <v>139.38</v>
      </c>
      <c r="E135" s="32">
        <f t="shared" si="6"/>
        <v>278.76</v>
      </c>
      <c r="F135" s="30">
        <v>120</v>
      </c>
      <c r="G135" s="39">
        <v>0.1</v>
      </c>
      <c r="H135" s="32">
        <f t="shared" si="7"/>
        <v>2.0907</v>
      </c>
    </row>
    <row r="136" spans="1:8" x14ac:dyDescent="0.3">
      <c r="A136" s="30">
        <v>98</v>
      </c>
      <c r="B136" s="31" t="s">
        <v>311</v>
      </c>
      <c r="C136" s="30">
        <v>2</v>
      </c>
      <c r="D136" s="168">
        <v>113.43</v>
      </c>
      <c r="E136" s="32">
        <f t="shared" si="6"/>
        <v>226.86</v>
      </c>
      <c r="F136" s="30">
        <v>120</v>
      </c>
      <c r="G136" s="39">
        <v>0.1</v>
      </c>
      <c r="H136" s="32">
        <f t="shared" si="7"/>
        <v>1.7014500000000001</v>
      </c>
    </row>
    <row r="137" spans="1:8" x14ac:dyDescent="0.3">
      <c r="A137" s="30">
        <v>99</v>
      </c>
      <c r="B137" s="31" t="s">
        <v>312</v>
      </c>
      <c r="C137" s="30">
        <v>1</v>
      </c>
      <c r="D137" s="168">
        <v>669.81</v>
      </c>
      <c r="E137" s="32">
        <f t="shared" si="6"/>
        <v>669.81</v>
      </c>
      <c r="F137" s="30">
        <v>120</v>
      </c>
      <c r="G137" s="39">
        <v>0.1</v>
      </c>
      <c r="H137" s="32">
        <f t="shared" si="7"/>
        <v>5.0235749999999992</v>
      </c>
    </row>
    <row r="138" spans="1:8" x14ac:dyDescent="0.3">
      <c r="A138" s="30">
        <v>100</v>
      </c>
      <c r="B138" s="31" t="s">
        <v>313</v>
      </c>
      <c r="C138" s="30">
        <v>3</v>
      </c>
      <c r="D138" s="168">
        <v>56.61</v>
      </c>
      <c r="E138" s="32">
        <f t="shared" si="6"/>
        <v>169.82999999999998</v>
      </c>
      <c r="F138" s="30">
        <v>120</v>
      </c>
      <c r="G138" s="39">
        <v>0.1</v>
      </c>
      <c r="H138" s="32">
        <f t="shared" si="7"/>
        <v>1.2737249999999998</v>
      </c>
    </row>
    <row r="139" spans="1:8" x14ac:dyDescent="0.3">
      <c r="A139" s="30">
        <v>101</v>
      </c>
      <c r="B139" s="31" t="s">
        <v>314</v>
      </c>
      <c r="C139" s="30">
        <v>3</v>
      </c>
      <c r="D139" s="168">
        <v>57.13</v>
      </c>
      <c r="E139" s="32">
        <f t="shared" si="6"/>
        <v>171.39000000000001</v>
      </c>
      <c r="F139" s="30">
        <v>120</v>
      </c>
      <c r="G139" s="39">
        <v>0.1</v>
      </c>
      <c r="H139" s="32">
        <f t="shared" si="7"/>
        <v>1.285425</v>
      </c>
    </row>
    <row r="140" spans="1:8" x14ac:dyDescent="0.3">
      <c r="A140" s="30">
        <v>102</v>
      </c>
      <c r="B140" s="31" t="s">
        <v>315</v>
      </c>
      <c r="C140" s="30">
        <v>3</v>
      </c>
      <c r="D140" s="168">
        <v>69.599999999999994</v>
      </c>
      <c r="E140" s="32">
        <f t="shared" si="6"/>
        <v>208.79999999999998</v>
      </c>
      <c r="F140" s="30">
        <v>120</v>
      </c>
      <c r="G140" s="39">
        <v>0.1</v>
      </c>
      <c r="H140" s="32">
        <f t="shared" si="7"/>
        <v>1.5659999999999998</v>
      </c>
    </row>
    <row r="141" spans="1:8" x14ac:dyDescent="0.3">
      <c r="A141" s="30">
        <v>103</v>
      </c>
      <c r="B141" s="31" t="s">
        <v>316</v>
      </c>
      <c r="C141" s="30">
        <v>3</v>
      </c>
      <c r="D141" s="168">
        <v>72.819999999999993</v>
      </c>
      <c r="E141" s="32">
        <f t="shared" si="6"/>
        <v>218.45999999999998</v>
      </c>
      <c r="F141" s="30">
        <v>120</v>
      </c>
      <c r="G141" s="39">
        <v>0.1</v>
      </c>
      <c r="H141" s="32">
        <f t="shared" si="7"/>
        <v>1.6384499999999997</v>
      </c>
    </row>
    <row r="142" spans="1:8" x14ac:dyDescent="0.3">
      <c r="A142" s="30">
        <v>104</v>
      </c>
      <c r="B142" s="31" t="s">
        <v>317</v>
      </c>
      <c r="C142" s="30">
        <v>3</v>
      </c>
      <c r="D142" s="168">
        <v>82.39</v>
      </c>
      <c r="E142" s="32">
        <f t="shared" si="6"/>
        <v>247.17000000000002</v>
      </c>
      <c r="F142" s="30">
        <v>120</v>
      </c>
      <c r="G142" s="39">
        <v>0.1</v>
      </c>
      <c r="H142" s="32">
        <f t="shared" si="7"/>
        <v>1.853775</v>
      </c>
    </row>
    <row r="143" spans="1:8" x14ac:dyDescent="0.3">
      <c r="A143" s="30">
        <v>105</v>
      </c>
      <c r="B143" s="31" t="s">
        <v>318</v>
      </c>
      <c r="C143" s="30">
        <v>3</v>
      </c>
      <c r="D143" s="168">
        <v>80.88</v>
      </c>
      <c r="E143" s="32">
        <f t="shared" si="6"/>
        <v>242.64</v>
      </c>
      <c r="F143" s="30">
        <v>120</v>
      </c>
      <c r="G143" s="39">
        <v>0.1</v>
      </c>
      <c r="H143" s="32">
        <f t="shared" si="7"/>
        <v>1.8197999999999999</v>
      </c>
    </row>
    <row r="144" spans="1:8" x14ac:dyDescent="0.3">
      <c r="A144" s="30">
        <v>106</v>
      </c>
      <c r="B144" s="31" t="s">
        <v>319</v>
      </c>
      <c r="C144" s="30">
        <v>3</v>
      </c>
      <c r="D144" s="168">
        <v>90.55</v>
      </c>
      <c r="E144" s="32">
        <f t="shared" si="6"/>
        <v>271.64999999999998</v>
      </c>
      <c r="F144" s="30">
        <v>120</v>
      </c>
      <c r="G144" s="39">
        <v>0.1</v>
      </c>
      <c r="H144" s="32">
        <f t="shared" si="7"/>
        <v>2.0373749999999999</v>
      </c>
    </row>
    <row r="145" spans="1:8" x14ac:dyDescent="0.3">
      <c r="A145" s="30">
        <v>107</v>
      </c>
      <c r="B145" s="31" t="s">
        <v>320</v>
      </c>
      <c r="C145" s="30">
        <v>2</v>
      </c>
      <c r="D145" s="168">
        <v>103.26</v>
      </c>
      <c r="E145" s="32">
        <f t="shared" si="6"/>
        <v>206.52</v>
      </c>
      <c r="F145" s="30">
        <v>120</v>
      </c>
      <c r="G145" s="39">
        <v>0.1</v>
      </c>
      <c r="H145" s="32">
        <f t="shared" si="7"/>
        <v>1.5488999999999999</v>
      </c>
    </row>
    <row r="146" spans="1:8" x14ac:dyDescent="0.3">
      <c r="A146" s="30">
        <v>108</v>
      </c>
      <c r="B146" s="31" t="s">
        <v>321</v>
      </c>
      <c r="C146" s="30">
        <v>2</v>
      </c>
      <c r="D146" s="168">
        <v>133.82</v>
      </c>
      <c r="E146" s="32">
        <f t="shared" si="6"/>
        <v>267.64</v>
      </c>
      <c r="F146" s="30">
        <v>120</v>
      </c>
      <c r="G146" s="39">
        <v>0.1</v>
      </c>
      <c r="H146" s="32">
        <f t="shared" si="7"/>
        <v>2.0072999999999999</v>
      </c>
    </row>
    <row r="147" spans="1:8" x14ac:dyDescent="0.3">
      <c r="A147" s="30">
        <v>109</v>
      </c>
      <c r="B147" s="31" t="s">
        <v>322</v>
      </c>
      <c r="C147" s="30">
        <v>2</v>
      </c>
      <c r="D147" s="168">
        <v>101.37</v>
      </c>
      <c r="E147" s="32">
        <f t="shared" si="6"/>
        <v>202.74</v>
      </c>
      <c r="F147" s="30">
        <v>120</v>
      </c>
      <c r="G147" s="39">
        <v>0.1</v>
      </c>
      <c r="H147" s="32">
        <f t="shared" si="7"/>
        <v>1.5205500000000001</v>
      </c>
    </row>
    <row r="148" spans="1:8" ht="28" x14ac:dyDescent="0.3">
      <c r="A148" s="30">
        <v>110</v>
      </c>
      <c r="B148" s="31" t="s">
        <v>323</v>
      </c>
      <c r="C148" s="30">
        <v>3</v>
      </c>
      <c r="D148" s="168">
        <v>71.02</v>
      </c>
      <c r="E148" s="32">
        <f t="shared" si="6"/>
        <v>213.06</v>
      </c>
      <c r="F148" s="30">
        <v>120</v>
      </c>
      <c r="G148" s="39">
        <v>0.1</v>
      </c>
      <c r="H148" s="32">
        <f t="shared" si="7"/>
        <v>1.59795</v>
      </c>
    </row>
    <row r="149" spans="1:8" x14ac:dyDescent="0.3">
      <c r="A149" s="30">
        <v>111</v>
      </c>
      <c r="B149" s="31" t="s">
        <v>324</v>
      </c>
      <c r="C149" s="30">
        <v>1</v>
      </c>
      <c r="D149" s="168">
        <v>2.4500000000000002</v>
      </c>
      <c r="E149" s="32">
        <f t="shared" si="6"/>
        <v>2.4500000000000002</v>
      </c>
      <c r="F149" s="30">
        <v>120</v>
      </c>
      <c r="G149" s="39">
        <v>0.1</v>
      </c>
      <c r="H149" s="32">
        <f t="shared" si="7"/>
        <v>1.8374999999999999E-2</v>
      </c>
    </row>
    <row r="150" spans="1:8" ht="28" x14ac:dyDescent="0.3">
      <c r="A150" s="30">
        <v>112</v>
      </c>
      <c r="B150" s="31" t="s">
        <v>325</v>
      </c>
      <c r="C150" s="30">
        <v>7</v>
      </c>
      <c r="D150" s="168">
        <v>58.4</v>
      </c>
      <c r="E150" s="32">
        <f t="shared" si="6"/>
        <v>408.8</v>
      </c>
      <c r="F150" s="30">
        <v>120</v>
      </c>
      <c r="G150" s="39">
        <v>0.1</v>
      </c>
      <c r="H150" s="32">
        <f t="shared" si="7"/>
        <v>3.0660000000000003</v>
      </c>
    </row>
    <row r="151" spans="1:8" ht="28" x14ac:dyDescent="0.3">
      <c r="A151" s="30">
        <v>113</v>
      </c>
      <c r="B151" s="31" t="s">
        <v>326</v>
      </c>
      <c r="C151" s="30">
        <v>8</v>
      </c>
      <c r="D151" s="168">
        <v>55.12</v>
      </c>
      <c r="E151" s="32">
        <f t="shared" si="6"/>
        <v>440.96</v>
      </c>
      <c r="F151" s="30">
        <v>120</v>
      </c>
      <c r="G151" s="39">
        <v>0.1</v>
      </c>
      <c r="H151" s="32">
        <f t="shared" si="7"/>
        <v>3.3071999999999999</v>
      </c>
    </row>
    <row r="152" spans="1:8" ht="28" x14ac:dyDescent="0.3">
      <c r="A152" s="30">
        <v>114</v>
      </c>
      <c r="B152" s="31" t="s">
        <v>327</v>
      </c>
      <c r="C152" s="30">
        <v>8</v>
      </c>
      <c r="D152" s="168">
        <v>96.44</v>
      </c>
      <c r="E152" s="32">
        <f t="shared" si="6"/>
        <v>771.52</v>
      </c>
      <c r="F152" s="30">
        <v>120</v>
      </c>
      <c r="G152" s="39">
        <v>0.1</v>
      </c>
      <c r="H152" s="32">
        <f t="shared" si="7"/>
        <v>5.7863999999999995</v>
      </c>
    </row>
    <row r="153" spans="1:8" ht="28" x14ac:dyDescent="0.3">
      <c r="A153" s="30">
        <v>115</v>
      </c>
      <c r="B153" s="31" t="s">
        <v>328</v>
      </c>
      <c r="C153" s="30">
        <v>4</v>
      </c>
      <c r="D153" s="168">
        <v>159.94999999999999</v>
      </c>
      <c r="E153" s="32">
        <f t="shared" si="6"/>
        <v>639.79999999999995</v>
      </c>
      <c r="F153" s="30">
        <v>120</v>
      </c>
      <c r="G153" s="39">
        <v>0.1</v>
      </c>
      <c r="H153" s="32">
        <f t="shared" si="7"/>
        <v>4.7984999999999998</v>
      </c>
    </row>
    <row r="154" spans="1:8" x14ac:dyDescent="0.3">
      <c r="A154" s="30">
        <v>116</v>
      </c>
      <c r="B154" s="31" t="s">
        <v>329</v>
      </c>
      <c r="C154" s="30">
        <v>1</v>
      </c>
      <c r="D154" s="168">
        <v>1214.1300000000001</v>
      </c>
      <c r="E154" s="32">
        <f t="shared" si="6"/>
        <v>1214.1300000000001</v>
      </c>
      <c r="F154" s="30">
        <v>120</v>
      </c>
      <c r="G154" s="39">
        <v>0.1</v>
      </c>
      <c r="H154" s="32">
        <f t="shared" si="7"/>
        <v>9.1059750000000008</v>
      </c>
    </row>
    <row r="155" spans="1:8" x14ac:dyDescent="0.3">
      <c r="A155" s="30">
        <v>117</v>
      </c>
      <c r="B155" s="31" t="s">
        <v>330</v>
      </c>
      <c r="C155" s="30">
        <v>3</v>
      </c>
      <c r="D155" s="168">
        <v>74.36</v>
      </c>
      <c r="E155" s="32">
        <f t="shared" si="6"/>
        <v>223.07999999999998</v>
      </c>
      <c r="F155" s="30">
        <v>120</v>
      </c>
      <c r="G155" s="39">
        <v>0.1</v>
      </c>
      <c r="H155" s="32">
        <f t="shared" si="7"/>
        <v>1.6731</v>
      </c>
    </row>
    <row r="156" spans="1:8" x14ac:dyDescent="0.3">
      <c r="A156" s="30">
        <v>118</v>
      </c>
      <c r="B156" s="31" t="s">
        <v>331</v>
      </c>
      <c r="C156" s="30">
        <v>3</v>
      </c>
      <c r="D156" s="168">
        <v>73.73</v>
      </c>
      <c r="E156" s="32">
        <f t="shared" si="6"/>
        <v>221.19</v>
      </c>
      <c r="F156" s="30">
        <v>120</v>
      </c>
      <c r="G156" s="39">
        <v>0.1</v>
      </c>
      <c r="H156" s="32">
        <f t="shared" si="7"/>
        <v>1.658925</v>
      </c>
    </row>
    <row r="157" spans="1:8" x14ac:dyDescent="0.3">
      <c r="A157" s="30">
        <v>119</v>
      </c>
      <c r="B157" s="31" t="s">
        <v>332</v>
      </c>
      <c r="C157" s="30">
        <v>4</v>
      </c>
      <c r="D157" s="168">
        <v>675.04</v>
      </c>
      <c r="E157" s="32">
        <f t="shared" si="6"/>
        <v>2700.16</v>
      </c>
      <c r="F157" s="30">
        <v>120</v>
      </c>
      <c r="G157" s="39">
        <v>0.1</v>
      </c>
      <c r="H157" s="32">
        <f t="shared" si="7"/>
        <v>20.251199999999997</v>
      </c>
    </row>
    <row r="158" spans="1:8" x14ac:dyDescent="0.3">
      <c r="A158" s="30">
        <v>120</v>
      </c>
      <c r="B158" s="31" t="s">
        <v>333</v>
      </c>
      <c r="C158" s="30">
        <v>4</v>
      </c>
      <c r="D158" s="168">
        <v>489.83</v>
      </c>
      <c r="E158" s="32">
        <f t="shared" si="6"/>
        <v>1959.32</v>
      </c>
      <c r="F158" s="30">
        <v>120</v>
      </c>
      <c r="G158" s="39">
        <v>0.1</v>
      </c>
      <c r="H158" s="32">
        <f t="shared" si="7"/>
        <v>14.694899999999999</v>
      </c>
    </row>
    <row r="159" spans="1:8" ht="28" x14ac:dyDescent="0.3">
      <c r="A159" s="30">
        <v>121</v>
      </c>
      <c r="B159" s="31" t="s">
        <v>334</v>
      </c>
      <c r="C159" s="30">
        <v>6</v>
      </c>
      <c r="D159" s="168">
        <v>268.99</v>
      </c>
      <c r="E159" s="32">
        <f t="shared" si="6"/>
        <v>1613.94</v>
      </c>
      <c r="F159" s="30">
        <v>120</v>
      </c>
      <c r="G159" s="39">
        <v>0.1</v>
      </c>
      <c r="H159" s="32">
        <f t="shared" si="7"/>
        <v>12.10455</v>
      </c>
    </row>
    <row r="160" spans="1:8" ht="28" x14ac:dyDescent="0.3">
      <c r="A160" s="30">
        <v>122</v>
      </c>
      <c r="B160" s="31" t="s">
        <v>335</v>
      </c>
      <c r="C160" s="30">
        <v>6</v>
      </c>
      <c r="D160" s="168">
        <v>183.47</v>
      </c>
      <c r="E160" s="32">
        <f t="shared" si="6"/>
        <v>1100.82</v>
      </c>
      <c r="F160" s="30">
        <v>120</v>
      </c>
      <c r="G160" s="39">
        <v>0.1</v>
      </c>
      <c r="H160" s="32">
        <f t="shared" si="7"/>
        <v>8.2561499999999999</v>
      </c>
    </row>
    <row r="161" spans="1:8" ht="28" x14ac:dyDescent="0.3">
      <c r="A161" s="30">
        <v>123</v>
      </c>
      <c r="B161" s="31" t="s">
        <v>336</v>
      </c>
      <c r="C161" s="30">
        <v>7</v>
      </c>
      <c r="D161" s="168">
        <v>173.25</v>
      </c>
      <c r="E161" s="32">
        <f t="shared" si="6"/>
        <v>1212.75</v>
      </c>
      <c r="F161" s="30">
        <v>120</v>
      </c>
      <c r="G161" s="39">
        <v>0.1</v>
      </c>
      <c r="H161" s="32">
        <f t="shared" si="7"/>
        <v>9.0956250000000001</v>
      </c>
    </row>
    <row r="162" spans="1:8" ht="28" x14ac:dyDescent="0.3">
      <c r="A162" s="30">
        <v>124</v>
      </c>
      <c r="B162" s="31" t="s">
        <v>337</v>
      </c>
      <c r="C162" s="30">
        <v>15</v>
      </c>
      <c r="D162" s="168">
        <v>68.959999999999994</v>
      </c>
      <c r="E162" s="32">
        <f t="shared" si="6"/>
        <v>1034.3999999999999</v>
      </c>
      <c r="F162" s="30">
        <v>120</v>
      </c>
      <c r="G162" s="39">
        <v>0.1</v>
      </c>
      <c r="H162" s="32">
        <f t="shared" si="7"/>
        <v>7.7579999999999982</v>
      </c>
    </row>
    <row r="163" spans="1:8" x14ac:dyDescent="0.3">
      <c r="A163" s="30">
        <v>125</v>
      </c>
      <c r="B163" s="31" t="s">
        <v>338</v>
      </c>
      <c r="C163" s="30">
        <v>15</v>
      </c>
      <c r="D163" s="168">
        <v>35.39</v>
      </c>
      <c r="E163" s="32">
        <f t="shared" si="6"/>
        <v>530.85</v>
      </c>
      <c r="F163" s="30">
        <v>120</v>
      </c>
      <c r="G163" s="39">
        <v>0.1</v>
      </c>
      <c r="H163" s="32">
        <f t="shared" si="7"/>
        <v>3.9813749999999999</v>
      </c>
    </row>
    <row r="164" spans="1:8" x14ac:dyDescent="0.3">
      <c r="A164" s="30">
        <v>126</v>
      </c>
      <c r="B164" s="31" t="s">
        <v>339</v>
      </c>
      <c r="C164" s="30">
        <v>15</v>
      </c>
      <c r="D164" s="168">
        <v>34.96</v>
      </c>
      <c r="E164" s="32">
        <f t="shared" si="6"/>
        <v>524.4</v>
      </c>
      <c r="F164" s="30">
        <v>120</v>
      </c>
      <c r="G164" s="39">
        <v>0.1</v>
      </c>
      <c r="H164" s="32">
        <f t="shared" si="7"/>
        <v>3.9329999999999998</v>
      </c>
    </row>
    <row r="165" spans="1:8" x14ac:dyDescent="0.3">
      <c r="A165" s="30">
        <v>127</v>
      </c>
      <c r="B165" s="31" t="s">
        <v>340</v>
      </c>
      <c r="C165" s="30">
        <v>15</v>
      </c>
      <c r="D165" s="168">
        <v>36.06</v>
      </c>
      <c r="E165" s="32">
        <f t="shared" si="6"/>
        <v>540.90000000000009</v>
      </c>
      <c r="F165" s="30">
        <v>120</v>
      </c>
      <c r="G165" s="39">
        <v>0.1</v>
      </c>
      <c r="H165" s="32">
        <f t="shared" si="7"/>
        <v>4.0567500000000001</v>
      </c>
    </row>
    <row r="166" spans="1:8" x14ac:dyDescent="0.3">
      <c r="A166" s="30">
        <v>128</v>
      </c>
      <c r="B166" s="31" t="s">
        <v>341</v>
      </c>
      <c r="C166" s="30">
        <v>15</v>
      </c>
      <c r="D166" s="168">
        <v>35.07</v>
      </c>
      <c r="E166" s="32">
        <f t="shared" si="6"/>
        <v>526.04999999999995</v>
      </c>
      <c r="F166" s="30">
        <v>120</v>
      </c>
      <c r="G166" s="39">
        <v>0.1</v>
      </c>
      <c r="H166" s="32">
        <f t="shared" si="7"/>
        <v>3.9453749999999994</v>
      </c>
    </row>
    <row r="167" spans="1:8" x14ac:dyDescent="0.3">
      <c r="A167" s="30">
        <v>129</v>
      </c>
      <c r="B167" s="31" t="s">
        <v>342</v>
      </c>
      <c r="C167" s="30">
        <v>7</v>
      </c>
      <c r="D167" s="168">
        <v>78.510000000000005</v>
      </c>
      <c r="E167" s="32">
        <f t="shared" si="6"/>
        <v>549.57000000000005</v>
      </c>
      <c r="F167" s="30">
        <v>120</v>
      </c>
      <c r="G167" s="39">
        <v>0.1</v>
      </c>
      <c r="H167" s="32">
        <f t="shared" si="7"/>
        <v>4.1217750000000004</v>
      </c>
    </row>
    <row r="168" spans="1:8" ht="28" x14ac:dyDescent="0.3">
      <c r="A168" s="30">
        <v>130</v>
      </c>
      <c r="B168" s="31" t="s">
        <v>343</v>
      </c>
      <c r="C168" s="30">
        <v>7</v>
      </c>
      <c r="D168" s="168">
        <v>70.010000000000005</v>
      </c>
      <c r="E168" s="32">
        <f t="shared" ref="E168:E189" si="8">C168*D168</f>
        <v>490.07000000000005</v>
      </c>
      <c r="F168" s="30">
        <v>120</v>
      </c>
      <c r="G168" s="39">
        <v>0.1</v>
      </c>
      <c r="H168" s="32">
        <f t="shared" ref="H168:H189" si="9">(E168-(E168*G168))/(F168)</f>
        <v>3.6755250000000004</v>
      </c>
    </row>
    <row r="169" spans="1:8" ht="28" x14ac:dyDescent="0.3">
      <c r="A169" s="30">
        <v>131</v>
      </c>
      <c r="B169" s="31" t="s">
        <v>344</v>
      </c>
      <c r="C169" s="30">
        <v>7</v>
      </c>
      <c r="D169" s="168">
        <v>52.12</v>
      </c>
      <c r="E169" s="32">
        <f t="shared" si="8"/>
        <v>364.84</v>
      </c>
      <c r="F169" s="30">
        <v>120</v>
      </c>
      <c r="G169" s="39">
        <v>0.1</v>
      </c>
      <c r="H169" s="32">
        <f t="shared" si="9"/>
        <v>2.7363</v>
      </c>
    </row>
    <row r="170" spans="1:8" ht="28" x14ac:dyDescent="0.3">
      <c r="A170" s="30">
        <v>132</v>
      </c>
      <c r="B170" s="31" t="s">
        <v>345</v>
      </c>
      <c r="C170" s="30">
        <v>7</v>
      </c>
      <c r="D170" s="168">
        <v>56.44</v>
      </c>
      <c r="E170" s="32">
        <f t="shared" si="8"/>
        <v>395.08</v>
      </c>
      <c r="F170" s="30">
        <v>120</v>
      </c>
      <c r="G170" s="39">
        <v>0.1</v>
      </c>
      <c r="H170" s="32">
        <f t="shared" si="9"/>
        <v>2.9630999999999998</v>
      </c>
    </row>
    <row r="171" spans="1:8" x14ac:dyDescent="0.3">
      <c r="A171" s="30">
        <v>133</v>
      </c>
      <c r="B171" s="31" t="s">
        <v>346</v>
      </c>
      <c r="C171" s="30">
        <v>1</v>
      </c>
      <c r="D171" s="168">
        <v>281.82</v>
      </c>
      <c r="E171" s="32">
        <f t="shared" si="8"/>
        <v>281.82</v>
      </c>
      <c r="F171" s="30">
        <v>120</v>
      </c>
      <c r="G171" s="39">
        <v>0.1</v>
      </c>
      <c r="H171" s="32">
        <f t="shared" si="9"/>
        <v>2.1136499999999998</v>
      </c>
    </row>
    <row r="172" spans="1:8" ht="28" x14ac:dyDescent="0.3">
      <c r="A172" s="30">
        <v>134</v>
      </c>
      <c r="B172" s="31" t="s">
        <v>347</v>
      </c>
      <c r="C172" s="30">
        <v>1</v>
      </c>
      <c r="D172" s="168">
        <v>286</v>
      </c>
      <c r="E172" s="32">
        <f t="shared" si="8"/>
        <v>286</v>
      </c>
      <c r="F172" s="30">
        <v>120</v>
      </c>
      <c r="G172" s="39">
        <v>0.1</v>
      </c>
      <c r="H172" s="32">
        <f t="shared" si="9"/>
        <v>2.145</v>
      </c>
    </row>
    <row r="173" spans="1:8" ht="28" x14ac:dyDescent="0.3">
      <c r="A173" s="30">
        <v>135</v>
      </c>
      <c r="B173" s="31" t="s">
        <v>348</v>
      </c>
      <c r="C173" s="30">
        <v>1</v>
      </c>
      <c r="D173" s="168">
        <v>87.19</v>
      </c>
      <c r="E173" s="32">
        <f t="shared" si="8"/>
        <v>87.19</v>
      </c>
      <c r="F173" s="30">
        <v>120</v>
      </c>
      <c r="G173" s="39">
        <v>0.1</v>
      </c>
      <c r="H173" s="32">
        <f t="shared" si="9"/>
        <v>0.65392499999999998</v>
      </c>
    </row>
    <row r="174" spans="1:8" ht="28" x14ac:dyDescent="0.3">
      <c r="A174" s="30">
        <v>136</v>
      </c>
      <c r="B174" s="31" t="s">
        <v>349</v>
      </c>
      <c r="C174" s="30">
        <v>1</v>
      </c>
      <c r="D174" s="168">
        <v>103.3</v>
      </c>
      <c r="E174" s="32">
        <f t="shared" si="8"/>
        <v>103.3</v>
      </c>
      <c r="F174" s="30">
        <v>120</v>
      </c>
      <c r="G174" s="39">
        <v>0.1</v>
      </c>
      <c r="H174" s="32">
        <f t="shared" si="9"/>
        <v>0.77474999999999994</v>
      </c>
    </row>
    <row r="175" spans="1:8" ht="28" x14ac:dyDescent="0.3">
      <c r="A175" s="30">
        <v>137</v>
      </c>
      <c r="B175" s="31" t="s">
        <v>350</v>
      </c>
      <c r="C175" s="30">
        <v>1</v>
      </c>
      <c r="D175" s="168">
        <v>2415.88</v>
      </c>
      <c r="E175" s="32">
        <f t="shared" si="8"/>
        <v>2415.88</v>
      </c>
      <c r="F175" s="30">
        <v>120</v>
      </c>
      <c r="G175" s="39">
        <v>0.1</v>
      </c>
      <c r="H175" s="32">
        <f t="shared" si="9"/>
        <v>18.1191</v>
      </c>
    </row>
    <row r="176" spans="1:8" x14ac:dyDescent="0.3">
      <c r="A176" s="30">
        <v>138</v>
      </c>
      <c r="B176" s="31" t="s">
        <v>351</v>
      </c>
      <c r="C176" s="30">
        <v>1</v>
      </c>
      <c r="D176" s="168">
        <v>144.6</v>
      </c>
      <c r="E176" s="32">
        <f t="shared" si="8"/>
        <v>144.6</v>
      </c>
      <c r="F176" s="30">
        <v>120</v>
      </c>
      <c r="G176" s="39">
        <v>0.1</v>
      </c>
      <c r="H176" s="32">
        <f t="shared" si="9"/>
        <v>1.0844999999999998</v>
      </c>
    </row>
    <row r="177" spans="1:8" x14ac:dyDescent="0.3">
      <c r="A177" s="30">
        <v>139</v>
      </c>
      <c r="B177" s="31" t="s">
        <v>352</v>
      </c>
      <c r="C177" s="30">
        <v>1</v>
      </c>
      <c r="D177" s="168">
        <v>319.14999999999998</v>
      </c>
      <c r="E177" s="32">
        <f t="shared" si="8"/>
        <v>319.14999999999998</v>
      </c>
      <c r="F177" s="30">
        <v>120</v>
      </c>
      <c r="G177" s="39">
        <v>0.1</v>
      </c>
      <c r="H177" s="32">
        <f t="shared" si="9"/>
        <v>2.3936249999999997</v>
      </c>
    </row>
    <row r="178" spans="1:8" x14ac:dyDescent="0.3">
      <c r="A178" s="30">
        <v>140</v>
      </c>
      <c r="B178" s="31" t="s">
        <v>353</v>
      </c>
      <c r="C178" s="30">
        <v>1</v>
      </c>
      <c r="D178" s="168">
        <v>85.16</v>
      </c>
      <c r="E178" s="32">
        <f t="shared" si="8"/>
        <v>85.16</v>
      </c>
      <c r="F178" s="30">
        <v>120</v>
      </c>
      <c r="G178" s="39">
        <v>0.1</v>
      </c>
      <c r="H178" s="32">
        <f t="shared" si="9"/>
        <v>0.63869999999999993</v>
      </c>
    </row>
    <row r="179" spans="1:8" x14ac:dyDescent="0.3">
      <c r="A179" s="30">
        <v>141</v>
      </c>
      <c r="B179" s="31" t="s">
        <v>354</v>
      </c>
      <c r="C179" s="30">
        <v>7</v>
      </c>
      <c r="D179" s="168">
        <v>138.04</v>
      </c>
      <c r="E179" s="32">
        <f t="shared" si="8"/>
        <v>966.28</v>
      </c>
      <c r="F179" s="30">
        <v>120</v>
      </c>
      <c r="G179" s="39">
        <v>0.1</v>
      </c>
      <c r="H179" s="32">
        <f t="shared" si="9"/>
        <v>7.2470999999999997</v>
      </c>
    </row>
    <row r="180" spans="1:8" x14ac:dyDescent="0.3">
      <c r="A180" s="30">
        <v>142</v>
      </c>
      <c r="B180" s="31" t="s">
        <v>355</v>
      </c>
      <c r="C180" s="30">
        <v>2</v>
      </c>
      <c r="D180" s="168">
        <v>76.33</v>
      </c>
      <c r="E180" s="32">
        <f t="shared" si="8"/>
        <v>152.66</v>
      </c>
      <c r="F180" s="30">
        <v>120</v>
      </c>
      <c r="G180" s="39">
        <v>0.1</v>
      </c>
      <c r="H180" s="32">
        <f t="shared" si="9"/>
        <v>1.1449500000000001</v>
      </c>
    </row>
    <row r="181" spans="1:8" x14ac:dyDescent="0.3">
      <c r="A181" s="30">
        <v>143</v>
      </c>
      <c r="B181" s="31" t="s">
        <v>356</v>
      </c>
      <c r="C181" s="30">
        <v>2</v>
      </c>
      <c r="D181" s="168">
        <v>184.76</v>
      </c>
      <c r="E181" s="32">
        <f t="shared" si="8"/>
        <v>369.52</v>
      </c>
      <c r="F181" s="30">
        <v>120</v>
      </c>
      <c r="G181" s="39">
        <v>0.1</v>
      </c>
      <c r="H181" s="32">
        <f t="shared" si="9"/>
        <v>2.7713999999999999</v>
      </c>
    </row>
    <row r="182" spans="1:8" x14ac:dyDescent="0.3">
      <c r="A182" s="30">
        <v>144</v>
      </c>
      <c r="B182" s="31" t="s">
        <v>357</v>
      </c>
      <c r="C182" s="30">
        <v>2</v>
      </c>
      <c r="D182" s="168">
        <v>234.65</v>
      </c>
      <c r="E182" s="32">
        <f t="shared" si="8"/>
        <v>469.3</v>
      </c>
      <c r="F182" s="30">
        <v>120</v>
      </c>
      <c r="G182" s="39">
        <v>0.1</v>
      </c>
      <c r="H182" s="32">
        <f t="shared" si="9"/>
        <v>3.5197500000000002</v>
      </c>
    </row>
    <row r="183" spans="1:8" x14ac:dyDescent="0.3">
      <c r="A183" s="30">
        <v>145</v>
      </c>
      <c r="B183" s="31" t="s">
        <v>358</v>
      </c>
      <c r="C183" s="30">
        <v>2</v>
      </c>
      <c r="D183" s="168">
        <v>456.05</v>
      </c>
      <c r="E183" s="32">
        <f t="shared" si="8"/>
        <v>912.1</v>
      </c>
      <c r="F183" s="30">
        <v>120</v>
      </c>
      <c r="G183" s="39">
        <v>0.1</v>
      </c>
      <c r="H183" s="32">
        <f t="shared" si="9"/>
        <v>6.8407499999999999</v>
      </c>
    </row>
    <row r="184" spans="1:8" x14ac:dyDescent="0.3">
      <c r="A184" s="30">
        <v>146</v>
      </c>
      <c r="B184" s="31" t="s">
        <v>359</v>
      </c>
      <c r="C184" s="30">
        <v>4</v>
      </c>
      <c r="D184" s="168">
        <v>135.77000000000001</v>
      </c>
      <c r="E184" s="32">
        <f t="shared" si="8"/>
        <v>543.08000000000004</v>
      </c>
      <c r="F184" s="30">
        <v>120</v>
      </c>
      <c r="G184" s="39">
        <v>0.1</v>
      </c>
      <c r="H184" s="32">
        <f t="shared" si="9"/>
        <v>4.0731000000000002</v>
      </c>
    </row>
    <row r="185" spans="1:8" x14ac:dyDescent="0.3">
      <c r="A185" s="30">
        <v>147</v>
      </c>
      <c r="B185" s="31" t="s">
        <v>360</v>
      </c>
      <c r="C185" s="30">
        <v>4</v>
      </c>
      <c r="D185" s="168">
        <v>102.17</v>
      </c>
      <c r="E185" s="32">
        <f t="shared" si="8"/>
        <v>408.68</v>
      </c>
      <c r="F185" s="30">
        <v>120</v>
      </c>
      <c r="G185" s="39">
        <v>0.1</v>
      </c>
      <c r="H185" s="32">
        <f t="shared" si="9"/>
        <v>3.0651000000000002</v>
      </c>
    </row>
    <row r="186" spans="1:8" ht="28" x14ac:dyDescent="0.3">
      <c r="A186" s="30">
        <v>148</v>
      </c>
      <c r="B186" s="31" t="s">
        <v>361</v>
      </c>
      <c r="C186" s="30">
        <v>1</v>
      </c>
      <c r="D186" s="168">
        <v>3117.89</v>
      </c>
      <c r="E186" s="32">
        <f t="shared" si="8"/>
        <v>3117.89</v>
      </c>
      <c r="F186" s="30">
        <v>120</v>
      </c>
      <c r="G186" s="39">
        <v>0.1</v>
      </c>
      <c r="H186" s="32">
        <f t="shared" si="9"/>
        <v>23.384174999999995</v>
      </c>
    </row>
    <row r="187" spans="1:8" x14ac:dyDescent="0.3">
      <c r="A187" s="30">
        <v>149</v>
      </c>
      <c r="B187" s="31" t="s">
        <v>362</v>
      </c>
      <c r="C187" s="30">
        <v>3</v>
      </c>
      <c r="D187" s="168">
        <v>57.43</v>
      </c>
      <c r="E187" s="32">
        <f t="shared" si="8"/>
        <v>172.29</v>
      </c>
      <c r="F187" s="30">
        <v>120</v>
      </c>
      <c r="G187" s="39">
        <v>0.1</v>
      </c>
      <c r="H187" s="32">
        <f t="shared" si="9"/>
        <v>1.2921749999999999</v>
      </c>
    </row>
    <row r="188" spans="1:8" x14ac:dyDescent="0.3">
      <c r="A188" s="30">
        <v>150</v>
      </c>
      <c r="B188" s="31" t="s">
        <v>363</v>
      </c>
      <c r="C188" s="30">
        <v>2</v>
      </c>
      <c r="D188" s="168">
        <v>349.75</v>
      </c>
      <c r="E188" s="32">
        <f t="shared" si="8"/>
        <v>699.5</v>
      </c>
      <c r="F188" s="30">
        <v>120</v>
      </c>
      <c r="G188" s="39">
        <v>0.1</v>
      </c>
      <c r="H188" s="32">
        <f t="shared" si="9"/>
        <v>5.2462499999999999</v>
      </c>
    </row>
    <row r="189" spans="1:8" x14ac:dyDescent="0.3">
      <c r="A189" s="30">
        <v>151</v>
      </c>
      <c r="B189" s="31" t="s">
        <v>364</v>
      </c>
      <c r="C189" s="30">
        <v>1</v>
      </c>
      <c r="D189" s="168">
        <v>1689</v>
      </c>
      <c r="E189" s="32">
        <f t="shared" si="8"/>
        <v>1689</v>
      </c>
      <c r="F189" s="30">
        <v>120</v>
      </c>
      <c r="G189" s="39">
        <v>0.1</v>
      </c>
      <c r="H189" s="32">
        <f t="shared" si="9"/>
        <v>12.667499999999999</v>
      </c>
    </row>
    <row r="190" spans="1:8" x14ac:dyDescent="0.3">
      <c r="A190" s="464" t="s">
        <v>365</v>
      </c>
      <c r="B190" s="465"/>
      <c r="C190" s="465"/>
      <c r="D190" s="465"/>
      <c r="E190" s="465"/>
      <c r="F190" s="465"/>
      <c r="G190" s="466"/>
      <c r="H190" s="46">
        <f>SUM(H39:H189)</f>
        <v>661.02322500000014</v>
      </c>
    </row>
    <row r="191" spans="1:8" x14ac:dyDescent="0.3">
      <c r="A191" s="464" t="s">
        <v>366</v>
      </c>
      <c r="B191" s="465"/>
      <c r="C191" s="465"/>
      <c r="D191" s="465"/>
      <c r="E191" s="465"/>
      <c r="F191" s="465"/>
      <c r="G191" s="466"/>
      <c r="H191" s="46">
        <f>H190/10</f>
        <v>66.102322500000014</v>
      </c>
    </row>
  </sheetData>
  <sheetProtection algorithmName="SHA-512" hashValue="TphBnY01JkM0gYvslrnOvciSJ3K0YNx1BpU+31UKijU/zZnNmSnOniFS2nzi0vs6NX75ZWEJIiqnAiaItgdc7Q==" saltValue="bYNyx2EpzWsKFYxdEhZvTA==" spinCount="100000" sheet="1" objects="1" scenarios="1"/>
  <mergeCells count="11">
    <mergeCell ref="A33:F33"/>
    <mergeCell ref="A34:F34"/>
    <mergeCell ref="A37:H37"/>
    <mergeCell ref="A190:G190"/>
    <mergeCell ref="A191:G191"/>
    <mergeCell ref="A29:G29"/>
    <mergeCell ref="A1:G1"/>
    <mergeCell ref="A7:F7"/>
    <mergeCell ref="A10:G10"/>
    <mergeCell ref="A25:F25"/>
    <mergeCell ref="A26:F26"/>
  </mergeCells>
  <conditionalFormatting sqref="E3">
    <cfRule type="cellIs" dxfId="521" priority="172" operator="greaterThan">
      <formula>465.6</formula>
    </cfRule>
  </conditionalFormatting>
  <conditionalFormatting sqref="E4">
    <cfRule type="cellIs" dxfId="520" priority="171" operator="greaterThan">
      <formula>17.87</formula>
    </cfRule>
  </conditionalFormatting>
  <conditionalFormatting sqref="E5">
    <cfRule type="cellIs" dxfId="519" priority="170" operator="greaterThan">
      <formula>131.52</formula>
    </cfRule>
  </conditionalFormatting>
  <conditionalFormatting sqref="E6">
    <cfRule type="cellIs" dxfId="518" priority="169" operator="greaterThan">
      <formula>1.26</formula>
    </cfRule>
  </conditionalFormatting>
  <conditionalFormatting sqref="E12">
    <cfRule type="cellIs" dxfId="517" priority="168" operator="greaterThan">
      <formula>266.07</formula>
    </cfRule>
  </conditionalFormatting>
  <conditionalFormatting sqref="E13">
    <cfRule type="cellIs" dxfId="516" priority="167" operator="greaterThan">
      <formula>78.9</formula>
    </cfRule>
  </conditionalFormatting>
  <conditionalFormatting sqref="E14">
    <cfRule type="cellIs" dxfId="515" priority="166" operator="greaterThan">
      <formula>73.98</formula>
    </cfRule>
  </conditionalFormatting>
  <conditionalFormatting sqref="E15">
    <cfRule type="cellIs" dxfId="514" priority="165" operator="greaterThan">
      <formula>131.52</formula>
    </cfRule>
  </conditionalFormatting>
  <conditionalFormatting sqref="E16">
    <cfRule type="cellIs" dxfId="513" priority="164" operator="greaterThan">
      <formula>482.91</formula>
    </cfRule>
    <cfRule type="cellIs" dxfId="512" priority="163" operator="greaterThan">
      <formula>482.91</formula>
    </cfRule>
  </conditionalFormatting>
  <conditionalFormatting sqref="E17">
    <cfRule type="cellIs" dxfId="511" priority="162" operator="greaterThan">
      <formula>183.23</formula>
    </cfRule>
  </conditionalFormatting>
  <conditionalFormatting sqref="E18">
    <cfRule type="cellIs" dxfId="510" priority="161" operator="greaterThan">
      <formula>109.6</formula>
    </cfRule>
  </conditionalFormatting>
  <conditionalFormatting sqref="E19">
    <cfRule type="cellIs" dxfId="509" priority="160" operator="greaterThan">
      <formula>584.75</formula>
    </cfRule>
  </conditionalFormatting>
  <conditionalFormatting sqref="E20">
    <cfRule type="cellIs" dxfId="508" priority="159" operator="greaterThan">
      <formula>54.8</formula>
    </cfRule>
  </conditionalFormatting>
  <conditionalFormatting sqref="E21">
    <cfRule type="cellIs" dxfId="507" priority="158" operator="greaterThan">
      <formula>12.3</formula>
    </cfRule>
  </conditionalFormatting>
  <conditionalFormatting sqref="E22">
    <cfRule type="cellIs" dxfId="506" priority="157" operator="greaterThan">
      <formula>196.56</formula>
    </cfRule>
  </conditionalFormatting>
  <conditionalFormatting sqref="E23">
    <cfRule type="cellIs" dxfId="505" priority="156" operator="greaterThan">
      <formula>698.7</formula>
    </cfRule>
  </conditionalFormatting>
  <conditionalFormatting sqref="E24">
    <cfRule type="cellIs" dxfId="504" priority="155" operator="greaterThan">
      <formula>32.04</formula>
    </cfRule>
  </conditionalFormatting>
  <conditionalFormatting sqref="E31">
    <cfRule type="cellIs" dxfId="503" priority="154" operator="greaterThan">
      <formula>800</formula>
    </cfRule>
  </conditionalFormatting>
  <conditionalFormatting sqref="E32">
    <cfRule type="cellIs" dxfId="502" priority="153" operator="greaterThan">
      <formula>800</formula>
    </cfRule>
  </conditionalFormatting>
  <conditionalFormatting sqref="E39">
    <cfRule type="cellIs" dxfId="501" priority="152" operator="greaterThan">
      <formula>"E39"</formula>
    </cfRule>
    <cfRule type="cellIs" dxfId="500" priority="151" operator="greaterThan">
      <formula>418.49</formula>
    </cfRule>
  </conditionalFormatting>
  <conditionalFormatting sqref="E40">
    <cfRule type="cellIs" dxfId="499" priority="150" operator="greaterThan">
      <formula>562.6</formula>
    </cfRule>
  </conditionalFormatting>
  <conditionalFormatting sqref="E41">
    <cfRule type="cellIs" dxfId="498" priority="149" operator="greaterThan">
      <formula>118.2</formula>
    </cfRule>
  </conditionalFormatting>
  <conditionalFormatting sqref="E42">
    <cfRule type="cellIs" dxfId="497" priority="148" operator="greaterThan">
      <formula>1532</formula>
    </cfRule>
  </conditionalFormatting>
  <conditionalFormatting sqref="E43">
    <cfRule type="cellIs" dxfId="496" priority="147" operator="greaterThan">
      <formula>1330.68</formula>
    </cfRule>
  </conditionalFormatting>
  <conditionalFormatting sqref="E44">
    <cfRule type="cellIs" dxfId="495" priority="146" operator="greaterThan">
      <formula>1194.43</formula>
    </cfRule>
  </conditionalFormatting>
  <conditionalFormatting sqref="E45">
    <cfRule type="cellIs" dxfId="494" priority="145" operator="greaterThan">
      <formula>817.57</formula>
    </cfRule>
  </conditionalFormatting>
  <conditionalFormatting sqref="E46">
    <cfRule type="cellIs" dxfId="493" priority="144" operator="greaterThan">
      <formula>791.54</formula>
    </cfRule>
  </conditionalFormatting>
  <conditionalFormatting sqref="E47">
    <cfRule type="cellIs" dxfId="492" priority="143" operator="greaterThan">
      <formula>421.44</formula>
    </cfRule>
  </conditionalFormatting>
  <conditionalFormatting sqref="E48">
    <cfRule type="cellIs" dxfId="491" priority="142" operator="greaterThan">
      <formula>1125.04</formula>
    </cfRule>
  </conditionalFormatting>
  <conditionalFormatting sqref="E49">
    <cfRule type="cellIs" dxfId="490" priority="141" operator="greaterThan">
      <formula>2318.48</formula>
    </cfRule>
  </conditionalFormatting>
  <conditionalFormatting sqref="E50">
    <cfRule type="cellIs" dxfId="489" priority="140" operator="greaterThan">
      <formula>880.26</formula>
    </cfRule>
  </conditionalFormatting>
  <conditionalFormatting sqref="E51">
    <cfRule type="cellIs" dxfId="488" priority="139" operator="greaterThan">
      <formula>401.44</formula>
    </cfRule>
  </conditionalFormatting>
  <conditionalFormatting sqref="E52">
    <cfRule type="cellIs" dxfId="487" priority="138" operator="greaterThan">
      <formula>373.8</formula>
    </cfRule>
  </conditionalFormatting>
  <conditionalFormatting sqref="E53">
    <cfRule type="cellIs" dxfId="486" priority="137" operator="greaterThan">
      <formula>117.6</formula>
    </cfRule>
  </conditionalFormatting>
  <conditionalFormatting sqref="E54">
    <cfRule type="cellIs" dxfId="485" priority="136" operator="greaterThan">
      <formula>2068.72</formula>
    </cfRule>
  </conditionalFormatting>
  <conditionalFormatting sqref="E55">
    <cfRule type="cellIs" dxfId="484" priority="135" operator="greaterThan">
      <formula>1405.21</formula>
    </cfRule>
  </conditionalFormatting>
  <conditionalFormatting sqref="E56">
    <cfRule type="cellIs" dxfId="483" priority="134" operator="greaterThan">
      <formula>476.44</formula>
    </cfRule>
  </conditionalFormatting>
  <conditionalFormatting sqref="E57">
    <cfRule type="cellIs" dxfId="482" priority="133" operator="greaterThan">
      <formula>344.71</formula>
    </cfRule>
  </conditionalFormatting>
  <conditionalFormatting sqref="E58">
    <cfRule type="cellIs" dxfId="481" priority="132" operator="greaterThan">
      <formula>414.64</formula>
    </cfRule>
  </conditionalFormatting>
  <conditionalFormatting sqref="E59">
    <cfRule type="cellIs" dxfId="480" priority="131" operator="greaterThan">
      <formula>637.04</formula>
    </cfRule>
  </conditionalFormatting>
  <conditionalFormatting sqref="E60">
    <cfRule type="cellIs" dxfId="479" priority="130" operator="greaterThan">
      <formula>89.84</formula>
    </cfRule>
  </conditionalFormatting>
  <conditionalFormatting sqref="E61">
    <cfRule type="cellIs" dxfId="478" priority="129" operator="greaterThan">
      <formula>980.7</formula>
    </cfRule>
  </conditionalFormatting>
  <conditionalFormatting sqref="E62">
    <cfRule type="cellIs" dxfId="477" priority="128" operator="greaterThan">
      <formula>361.42</formula>
    </cfRule>
  </conditionalFormatting>
  <conditionalFormatting sqref="E63">
    <cfRule type="cellIs" dxfId="476" priority="127" operator="greaterThan">
      <formula>579</formula>
    </cfRule>
  </conditionalFormatting>
  <conditionalFormatting sqref="E64">
    <cfRule type="cellIs" dxfId="475" priority="126" operator="greaterThan">
      <formula>338.87</formula>
    </cfRule>
  </conditionalFormatting>
  <conditionalFormatting sqref="E65">
    <cfRule type="cellIs" dxfId="474" priority="125" operator="greaterThan">
      <formula>234.96</formula>
    </cfRule>
  </conditionalFormatting>
  <conditionalFormatting sqref="E66">
    <cfRule type="cellIs" dxfId="473" priority="124" operator="greaterThan">
      <formula>331.6</formula>
    </cfRule>
  </conditionalFormatting>
  <conditionalFormatting sqref="E67">
    <cfRule type="cellIs" dxfId="472" priority="123" operator="greaterThan">
      <formula>133.42</formula>
    </cfRule>
  </conditionalFormatting>
  <conditionalFormatting sqref="E68">
    <cfRule type="cellIs" dxfId="471" priority="122" operator="greaterThan">
      <formula>99.19</formula>
    </cfRule>
  </conditionalFormatting>
  <conditionalFormatting sqref="E69">
    <cfRule type="cellIs" dxfId="470" priority="121" operator="greaterThan">
      <formula>1221.9</formula>
    </cfRule>
  </conditionalFormatting>
  <conditionalFormatting sqref="E70">
    <cfRule type="cellIs" dxfId="469" priority="120" operator="greaterThan">
      <formula>770.1</formula>
    </cfRule>
  </conditionalFormatting>
  <conditionalFormatting sqref="E71">
    <cfRule type="cellIs" dxfId="468" priority="119" operator="greaterThan">
      <formula>915.02</formula>
    </cfRule>
  </conditionalFormatting>
  <conditionalFormatting sqref="E72">
    <cfRule type="cellIs" dxfId="467" priority="118" operator="greaterThan">
      <formula>345.75</formula>
    </cfRule>
  </conditionalFormatting>
  <conditionalFormatting sqref="E73">
    <cfRule type="cellIs" dxfId="466" priority="117" operator="greaterThan">
      <formula>181.29</formula>
    </cfRule>
  </conditionalFormatting>
  <conditionalFormatting sqref="E74">
    <cfRule type="cellIs" dxfId="465" priority="116" operator="greaterThan">
      <formula>376.39</formula>
    </cfRule>
  </conditionalFormatting>
  <conditionalFormatting sqref="E75">
    <cfRule type="cellIs" dxfId="464" priority="115" operator="greaterThan">
      <formula>539.61</formula>
    </cfRule>
  </conditionalFormatting>
  <conditionalFormatting sqref="E76">
    <cfRule type="cellIs" dxfId="463" priority="114" operator="greaterThan">
      <formula>330.47</formula>
    </cfRule>
  </conditionalFormatting>
  <conditionalFormatting sqref="E77">
    <cfRule type="cellIs" dxfId="462" priority="113" operator="greaterThan">
      <formula>258.58</formula>
    </cfRule>
  </conditionalFormatting>
  <conditionalFormatting sqref="E78">
    <cfRule type="cellIs" dxfId="461" priority="112" operator="greaterThan">
      <formula>97.28</formula>
    </cfRule>
  </conditionalFormatting>
  <conditionalFormatting sqref="E79">
    <cfRule type="cellIs" dxfId="460" priority="111" operator="greaterThan">
      <formula>153</formula>
    </cfRule>
  </conditionalFormatting>
  <conditionalFormatting sqref="E80">
    <cfRule type="cellIs" dxfId="459" priority="110" operator="greaterThan">
      <formula>109.5</formula>
    </cfRule>
  </conditionalFormatting>
  <conditionalFormatting sqref="E81">
    <cfRule type="cellIs" dxfId="458" priority="109" operator="greaterThan">
      <formula>156.8</formula>
    </cfRule>
  </conditionalFormatting>
  <conditionalFormatting sqref="E82">
    <cfRule type="cellIs" dxfId="457" priority="108" operator="greaterThan">
      <formula>145.84</formula>
    </cfRule>
  </conditionalFormatting>
  <conditionalFormatting sqref="E83">
    <cfRule type="cellIs" dxfId="456" priority="107" operator="greaterThan">
      <formula>1509.72</formula>
    </cfRule>
  </conditionalFormatting>
  <conditionalFormatting sqref="E84">
    <cfRule type="cellIs" dxfId="455" priority="106" operator="greaterThan">
      <formula>533.49</formula>
    </cfRule>
  </conditionalFormatting>
  <conditionalFormatting sqref="E85">
    <cfRule type="cellIs" dxfId="454" priority="105" operator="greaterThan">
      <formula>1596.49</formula>
    </cfRule>
  </conditionalFormatting>
  <conditionalFormatting sqref="E86">
    <cfRule type="cellIs" dxfId="453" priority="104" operator="greaterThan">
      <formula>883.46</formula>
    </cfRule>
  </conditionalFormatting>
  <conditionalFormatting sqref="E87">
    <cfRule type="cellIs" dxfId="452" priority="103" operator="greaterThan">
      <formula>200.6</formula>
    </cfRule>
  </conditionalFormatting>
  <conditionalFormatting sqref="E88">
    <cfRule type="cellIs" dxfId="451" priority="102" operator="greaterThan">
      <formula>129.82</formula>
    </cfRule>
  </conditionalFormatting>
  <conditionalFormatting sqref="E89">
    <cfRule type="cellIs" dxfId="450" priority="101" operator="greaterThan">
      <formula>244.06</formula>
    </cfRule>
  </conditionalFormatting>
  <conditionalFormatting sqref="E90">
    <cfRule type="cellIs" dxfId="449" priority="100" operator="greaterThan">
      <formula>392</formula>
    </cfRule>
  </conditionalFormatting>
  <conditionalFormatting sqref="E91">
    <cfRule type="cellIs" dxfId="448" priority="99" operator="greaterThan">
      <formula>85.57</formula>
    </cfRule>
  </conditionalFormatting>
  <conditionalFormatting sqref="E92">
    <cfRule type="cellIs" dxfId="447" priority="98" operator="greaterThan">
      <formula>141.2</formula>
    </cfRule>
  </conditionalFormatting>
  <conditionalFormatting sqref="E93">
    <cfRule type="cellIs" dxfId="446" priority="97" operator="greaterThan">
      <formula>134.71</formula>
    </cfRule>
  </conditionalFormatting>
  <conditionalFormatting sqref="E94">
    <cfRule type="cellIs" dxfId="445" priority="96" operator="greaterThan">
      <formula>454.45</formula>
    </cfRule>
  </conditionalFormatting>
  <conditionalFormatting sqref="E95">
    <cfRule type="cellIs" dxfId="444" priority="95" operator="greaterThan">
      <formula>152.19</formula>
    </cfRule>
  </conditionalFormatting>
  <conditionalFormatting sqref="E96">
    <cfRule type="cellIs" dxfId="443" priority="94" operator="greaterThan">
      <formula>793.72</formula>
    </cfRule>
  </conditionalFormatting>
  <conditionalFormatting sqref="E97">
    <cfRule type="cellIs" dxfId="442" priority="93" operator="greaterThan">
      <formula>2515.8</formula>
    </cfRule>
  </conditionalFormatting>
  <conditionalFormatting sqref="E98">
    <cfRule type="cellIs" dxfId="441" priority="92" operator="greaterThan">
      <formula>350.64</formula>
    </cfRule>
  </conditionalFormatting>
  <conditionalFormatting sqref="E99">
    <cfRule type="cellIs" dxfId="440" priority="91" operator="greaterThan">
      <formula>333.12</formula>
    </cfRule>
  </conditionalFormatting>
  <conditionalFormatting sqref="E100">
    <cfRule type="cellIs" dxfId="439" priority="90" operator="greaterThan">
      <formula>303.3</formula>
    </cfRule>
  </conditionalFormatting>
  <conditionalFormatting sqref="E101">
    <cfRule type="cellIs" dxfId="438" priority="89" operator="greaterThan">
      <formula>148.49</formula>
    </cfRule>
  </conditionalFormatting>
  <conditionalFormatting sqref="E102">
    <cfRule type="cellIs" dxfId="437" priority="88" operator="greaterThan">
      <formula>1999.29</formula>
    </cfRule>
  </conditionalFormatting>
  <conditionalFormatting sqref="E103">
    <cfRule type="cellIs" dxfId="436" priority="87" operator="greaterThan">
      <formula>196.56</formula>
    </cfRule>
  </conditionalFormatting>
  <conditionalFormatting sqref="E104">
    <cfRule type="cellIs" dxfId="435" priority="86" operator="greaterThan">
      <formula>577.5</formula>
    </cfRule>
  </conditionalFormatting>
  <conditionalFormatting sqref="E105">
    <cfRule type="cellIs" dxfId="434" priority="85" operator="greaterThan">
      <formula>469.6</formula>
    </cfRule>
  </conditionalFormatting>
  <conditionalFormatting sqref="E106">
    <cfRule type="cellIs" dxfId="433" priority="84" operator="greaterThan">
      <formula>103.46</formula>
    </cfRule>
  </conditionalFormatting>
  <conditionalFormatting sqref="E107">
    <cfRule type="cellIs" dxfId="432" priority="83" operator="greaterThan">
      <formula>1166.69</formula>
    </cfRule>
  </conditionalFormatting>
  <conditionalFormatting sqref="E108">
    <cfRule type="cellIs" dxfId="431" priority="82" operator="greaterThan">
      <formula>74.46</formula>
    </cfRule>
  </conditionalFormatting>
  <conditionalFormatting sqref="E109">
    <cfRule type="cellIs" dxfId="430" priority="81" operator="greaterThan">
      <formula>122.96</formula>
    </cfRule>
  </conditionalFormatting>
  <conditionalFormatting sqref="E110">
    <cfRule type="cellIs" dxfId="429" priority="80" operator="greaterThan">
      <formula>1341.27</formula>
    </cfRule>
  </conditionalFormatting>
  <conditionalFormatting sqref="E111">
    <cfRule type="cellIs" dxfId="428" priority="79" operator="greaterThan">
      <formula>152.25</formula>
    </cfRule>
  </conditionalFormatting>
  <conditionalFormatting sqref="E112">
    <cfRule type="cellIs" dxfId="427" priority="78" operator="greaterThan">
      <formula>581.29</formula>
    </cfRule>
  </conditionalFormatting>
  <conditionalFormatting sqref="E113">
    <cfRule type="cellIs" dxfId="426" priority="77" operator="greaterThan">
      <formula>541.77</formula>
    </cfRule>
  </conditionalFormatting>
  <conditionalFormatting sqref="E114">
    <cfRule type="cellIs" dxfId="425" priority="76" operator="greaterThan">
      <formula>93.47</formula>
    </cfRule>
  </conditionalFormatting>
  <conditionalFormatting sqref="E115">
    <cfRule type="cellIs" dxfId="424" priority="75" operator="greaterThan">
      <formula>66.34</formula>
    </cfRule>
  </conditionalFormatting>
  <conditionalFormatting sqref="E116">
    <cfRule type="cellIs" dxfId="423" priority="74" operator="greaterThan">
      <formula>115.35</formula>
    </cfRule>
  </conditionalFormatting>
  <conditionalFormatting sqref="E117">
    <cfRule type="cellIs" dxfId="422" priority="73" operator="greaterThan">
      <formula>116.88</formula>
    </cfRule>
  </conditionalFormatting>
  <conditionalFormatting sqref="E118">
    <cfRule type="cellIs" dxfId="421" priority="72" operator="greaterThan">
      <formula>163.53</formula>
    </cfRule>
  </conditionalFormatting>
  <conditionalFormatting sqref="E119">
    <cfRule type="cellIs" dxfId="420" priority="71" operator="greaterThan">
      <formula>107.43</formula>
    </cfRule>
  </conditionalFormatting>
  <conditionalFormatting sqref="E120">
    <cfRule type="cellIs" dxfId="419" priority="70" operator="greaterThan">
      <formula>79.77</formula>
    </cfRule>
  </conditionalFormatting>
  <conditionalFormatting sqref="E121">
    <cfRule type="cellIs" dxfId="418" priority="69" operator="greaterThan">
      <formula>68.68</formula>
    </cfRule>
  </conditionalFormatting>
  <conditionalFormatting sqref="E122">
    <cfRule type="cellIs" dxfId="417" priority="68" operator="greaterThan">
      <formula>122.01</formula>
    </cfRule>
  </conditionalFormatting>
  <conditionalFormatting sqref="E123">
    <cfRule type="cellIs" dxfId="416" priority="67" operator="greaterThan">
      <formula>456.64</formula>
    </cfRule>
  </conditionalFormatting>
  <conditionalFormatting sqref="E124">
    <cfRule type="cellIs" dxfId="415" priority="66" operator="greaterThan">
      <formula>48.83</formula>
    </cfRule>
  </conditionalFormatting>
  <conditionalFormatting sqref="E125">
    <cfRule type="cellIs" dxfId="414" priority="65" operator="greaterThan">
      <formula>228.67</formula>
    </cfRule>
  </conditionalFormatting>
  <conditionalFormatting sqref="E126">
    <cfRule type="cellIs" dxfId="413" priority="64" operator="greaterThan">
      <formula>2659.95</formula>
    </cfRule>
  </conditionalFormatting>
  <conditionalFormatting sqref="E127">
    <cfRule type="cellIs" dxfId="412" priority="63" operator="greaterThan">
      <formula>1589.25</formula>
    </cfRule>
  </conditionalFormatting>
  <conditionalFormatting sqref="E128">
    <cfRule type="cellIs" dxfId="411" priority="62" operator="greaterThan">
      <formula>1008.3</formula>
    </cfRule>
  </conditionalFormatting>
  <conditionalFormatting sqref="E129">
    <cfRule type="cellIs" dxfId="410" priority="61" operator="greaterThan">
      <formula>121.83</formula>
    </cfRule>
  </conditionalFormatting>
  <conditionalFormatting sqref="E130">
    <cfRule type="cellIs" dxfId="409" priority="60" operator="greaterThan">
      <formula>960.54</formula>
    </cfRule>
  </conditionalFormatting>
  <conditionalFormatting sqref="E131">
    <cfRule type="cellIs" dxfId="408" priority="59" operator="greaterThan">
      <formula>59.36</formula>
    </cfRule>
  </conditionalFormatting>
  <conditionalFormatting sqref="E132">
    <cfRule type="cellIs" dxfId="407" priority="58" operator="greaterThan">
      <formula>257.7</formula>
    </cfRule>
  </conditionalFormatting>
  <conditionalFormatting sqref="E133">
    <cfRule type="cellIs" dxfId="406" priority="57" operator="greaterThan">
      <formula>404.32</formula>
    </cfRule>
  </conditionalFormatting>
  <conditionalFormatting sqref="E134">
    <cfRule type="cellIs" dxfId="405" priority="56" operator="greaterThan">
      <formula>392.98</formula>
    </cfRule>
  </conditionalFormatting>
  <conditionalFormatting sqref="E135">
    <cfRule type="cellIs" dxfId="404" priority="55" operator="greaterThan">
      <formula>278.76</formula>
    </cfRule>
  </conditionalFormatting>
  <conditionalFormatting sqref="E136">
    <cfRule type="cellIs" dxfId="403" priority="54" operator="greaterThan">
      <formula>226.86</formula>
    </cfRule>
  </conditionalFormatting>
  <conditionalFormatting sqref="E137">
    <cfRule type="cellIs" dxfId="402" priority="53" operator="greaterThan">
      <formula>669.81</formula>
    </cfRule>
  </conditionalFormatting>
  <conditionalFormatting sqref="E138">
    <cfRule type="cellIs" dxfId="401" priority="52" operator="greaterThan">
      <formula>169.83</formula>
    </cfRule>
  </conditionalFormatting>
  <conditionalFormatting sqref="E139">
    <cfRule type="cellIs" dxfId="400" priority="51" operator="greaterThan">
      <formula>171.39</formula>
    </cfRule>
  </conditionalFormatting>
  <conditionalFormatting sqref="E140">
    <cfRule type="cellIs" dxfId="399" priority="50" operator="greaterThan">
      <formula>208.8</formula>
    </cfRule>
  </conditionalFormatting>
  <conditionalFormatting sqref="E141">
    <cfRule type="cellIs" dxfId="398" priority="49" operator="greaterThan">
      <formula>218.46</formula>
    </cfRule>
  </conditionalFormatting>
  <conditionalFormatting sqref="E142">
    <cfRule type="cellIs" dxfId="397" priority="48" operator="greaterThan">
      <formula>247.17</formula>
    </cfRule>
  </conditionalFormatting>
  <conditionalFormatting sqref="E143">
    <cfRule type="cellIs" dxfId="396" priority="47" operator="greaterThan">
      <formula>242.64</formula>
    </cfRule>
  </conditionalFormatting>
  <conditionalFormatting sqref="E144">
    <cfRule type="cellIs" dxfId="395" priority="46" operator="greaterThan">
      <formula>271.65</formula>
    </cfRule>
  </conditionalFormatting>
  <conditionalFormatting sqref="E145">
    <cfRule type="cellIs" dxfId="394" priority="45" operator="greaterThan">
      <formula>206.52</formula>
    </cfRule>
  </conditionalFormatting>
  <conditionalFormatting sqref="E146">
    <cfRule type="cellIs" dxfId="393" priority="44" operator="greaterThan">
      <formula>267.64</formula>
    </cfRule>
  </conditionalFormatting>
  <conditionalFormatting sqref="E147">
    <cfRule type="cellIs" dxfId="392" priority="43" operator="greaterThan">
      <formula>202.74</formula>
    </cfRule>
  </conditionalFormatting>
  <conditionalFormatting sqref="E148">
    <cfRule type="cellIs" dxfId="391" priority="42" operator="greaterThan">
      <formula>213.06</formula>
    </cfRule>
  </conditionalFormatting>
  <conditionalFormatting sqref="E149">
    <cfRule type="cellIs" dxfId="390" priority="41" operator="greaterThan">
      <formula>2.45</formula>
    </cfRule>
  </conditionalFormatting>
  <conditionalFormatting sqref="E150">
    <cfRule type="cellIs" dxfId="389" priority="40" operator="greaterThan">
      <formula>408.8</formula>
    </cfRule>
  </conditionalFormatting>
  <conditionalFormatting sqref="E151">
    <cfRule type="cellIs" dxfId="388" priority="39" operator="greaterThan">
      <formula>440.96</formula>
    </cfRule>
  </conditionalFormatting>
  <conditionalFormatting sqref="E152">
    <cfRule type="cellIs" dxfId="387" priority="38" operator="greaterThan">
      <formula>771.52</formula>
    </cfRule>
  </conditionalFormatting>
  <conditionalFormatting sqref="E153">
    <cfRule type="cellIs" dxfId="386" priority="37" operator="greaterThan">
      <formula>639.8</formula>
    </cfRule>
  </conditionalFormatting>
  <conditionalFormatting sqref="E154">
    <cfRule type="cellIs" dxfId="385" priority="36" operator="greaterThan">
      <formula>1214.13</formula>
    </cfRule>
  </conditionalFormatting>
  <conditionalFormatting sqref="E155">
    <cfRule type="cellIs" dxfId="384" priority="35" operator="greaterThan">
      <formula>223.08</formula>
    </cfRule>
  </conditionalFormatting>
  <conditionalFormatting sqref="E156">
    <cfRule type="cellIs" dxfId="383" priority="34" operator="greaterThan">
      <formula>221.19</formula>
    </cfRule>
  </conditionalFormatting>
  <conditionalFormatting sqref="E157">
    <cfRule type="cellIs" dxfId="382" priority="33" operator="greaterThan">
      <formula>2700.16</formula>
    </cfRule>
  </conditionalFormatting>
  <conditionalFormatting sqref="E158">
    <cfRule type="cellIs" dxfId="381" priority="32" operator="greaterThan">
      <formula>1959.32</formula>
    </cfRule>
  </conditionalFormatting>
  <conditionalFormatting sqref="E159">
    <cfRule type="cellIs" dxfId="380" priority="31" operator="greaterThan">
      <formula>1613.94</formula>
    </cfRule>
  </conditionalFormatting>
  <conditionalFormatting sqref="E160">
    <cfRule type="cellIs" dxfId="379" priority="30" operator="greaterThan">
      <formula>1100.82</formula>
    </cfRule>
  </conditionalFormatting>
  <conditionalFormatting sqref="E161">
    <cfRule type="cellIs" dxfId="378" priority="29" operator="greaterThan">
      <formula>1212.75</formula>
    </cfRule>
  </conditionalFormatting>
  <conditionalFormatting sqref="E162">
    <cfRule type="cellIs" dxfId="377" priority="28" operator="greaterThan">
      <formula>1034.4</formula>
    </cfRule>
  </conditionalFormatting>
  <conditionalFormatting sqref="E163">
    <cfRule type="cellIs" dxfId="376" priority="27" operator="greaterThan">
      <formula>530.85</formula>
    </cfRule>
  </conditionalFormatting>
  <conditionalFormatting sqref="E164">
    <cfRule type="cellIs" dxfId="375" priority="26" operator="greaterThan">
      <formula>524.4</formula>
    </cfRule>
  </conditionalFormatting>
  <conditionalFormatting sqref="E165">
    <cfRule type="cellIs" dxfId="374" priority="25" operator="greaterThan">
      <formula>540.9</formula>
    </cfRule>
  </conditionalFormatting>
  <conditionalFormatting sqref="E166">
    <cfRule type="cellIs" dxfId="373" priority="24" operator="greaterThan">
      <formula>526.05</formula>
    </cfRule>
  </conditionalFormatting>
  <conditionalFormatting sqref="E167">
    <cfRule type="cellIs" dxfId="372" priority="23" operator="greaterThan">
      <formula>549.57</formula>
    </cfRule>
  </conditionalFormatting>
  <conditionalFormatting sqref="E168">
    <cfRule type="cellIs" dxfId="371" priority="22" operator="greaterThan">
      <formula>490.07</formula>
    </cfRule>
  </conditionalFormatting>
  <conditionalFormatting sqref="E169">
    <cfRule type="cellIs" dxfId="370" priority="21" operator="greaterThan">
      <formula>364.84</formula>
    </cfRule>
  </conditionalFormatting>
  <conditionalFormatting sqref="E170">
    <cfRule type="cellIs" dxfId="369" priority="20" operator="greaterThan">
      <formula>395.08</formula>
    </cfRule>
  </conditionalFormatting>
  <conditionalFormatting sqref="E171">
    <cfRule type="cellIs" dxfId="368" priority="19" operator="greaterThan">
      <formula>281.82</formula>
    </cfRule>
  </conditionalFormatting>
  <conditionalFormatting sqref="E172">
    <cfRule type="cellIs" dxfId="367" priority="18" operator="greaterThan">
      <formula>286</formula>
    </cfRule>
  </conditionalFormatting>
  <conditionalFormatting sqref="E173">
    <cfRule type="cellIs" dxfId="366" priority="17" operator="greaterThan">
      <formula>87.19</formula>
    </cfRule>
  </conditionalFormatting>
  <conditionalFormatting sqref="E174">
    <cfRule type="cellIs" dxfId="365" priority="16" operator="greaterThan">
      <formula>103.3</formula>
    </cfRule>
  </conditionalFormatting>
  <conditionalFormatting sqref="E175">
    <cfRule type="cellIs" dxfId="364" priority="15" operator="greaterThan">
      <formula>2415.88</formula>
    </cfRule>
  </conditionalFormatting>
  <conditionalFormatting sqref="E176">
    <cfRule type="cellIs" dxfId="363" priority="14" operator="greaterThan">
      <formula>144.6</formula>
    </cfRule>
  </conditionalFormatting>
  <conditionalFormatting sqref="E177">
    <cfRule type="cellIs" dxfId="362" priority="13" operator="greaterThan">
      <formula>319.15</formula>
    </cfRule>
  </conditionalFormatting>
  <conditionalFormatting sqref="E178">
    <cfRule type="cellIs" dxfId="361" priority="12" operator="greaterThan">
      <formula>85.16</formula>
    </cfRule>
  </conditionalFormatting>
  <conditionalFormatting sqref="E179">
    <cfRule type="cellIs" dxfId="360" priority="11" operator="greaterThan">
      <formula>966.28</formula>
    </cfRule>
  </conditionalFormatting>
  <conditionalFormatting sqref="E180">
    <cfRule type="cellIs" dxfId="359" priority="10" operator="greaterThan">
      <formula>152.66</formula>
    </cfRule>
  </conditionalFormatting>
  <conditionalFormatting sqref="E181">
    <cfRule type="cellIs" dxfId="358" priority="9" operator="greaterThan">
      <formula>369.52</formula>
    </cfRule>
  </conditionalFormatting>
  <conditionalFormatting sqref="E182">
    <cfRule type="cellIs" dxfId="357" priority="8" operator="greaterThan">
      <formula>469.3</formula>
    </cfRule>
  </conditionalFormatting>
  <conditionalFormatting sqref="E183">
    <cfRule type="cellIs" dxfId="356" priority="7" operator="greaterThan">
      <formula>912.1</formula>
    </cfRule>
  </conditionalFormatting>
  <conditionalFormatting sqref="E184">
    <cfRule type="cellIs" dxfId="355" priority="6" operator="greaterThan">
      <formula>543.08</formula>
    </cfRule>
  </conditionalFormatting>
  <conditionalFormatting sqref="E185">
    <cfRule type="cellIs" dxfId="354" priority="5" operator="greaterThan">
      <formula>408.68</formula>
    </cfRule>
  </conditionalFormatting>
  <conditionalFormatting sqref="E186">
    <cfRule type="cellIs" dxfId="353" priority="4" operator="greaterThan">
      <formula>3117.89</formula>
    </cfRule>
  </conditionalFormatting>
  <conditionalFormatting sqref="E187">
    <cfRule type="cellIs" dxfId="352" priority="3" operator="greaterThan">
      <formula>172.29</formula>
    </cfRule>
  </conditionalFormatting>
  <conditionalFormatting sqref="E188">
    <cfRule type="cellIs" dxfId="351" priority="2" operator="greaterThan">
      <formula>699.5</formula>
    </cfRule>
  </conditionalFormatting>
  <conditionalFormatting sqref="E189">
    <cfRule type="cellIs" dxfId="350" priority="1" operator="greaterThan">
      <formula>1689</formula>
    </cfRule>
  </conditionalFormatting>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3AAEE-674C-4773-8F5A-DE705338ED78}">
  <sheetPr>
    <tabColor theme="3" tint="0.59999389629810485"/>
  </sheetPr>
  <dimension ref="A1:F15"/>
  <sheetViews>
    <sheetView zoomScale="90" zoomScaleNormal="90" workbookViewId="0">
      <selection activeCell="E4" sqref="E4"/>
    </sheetView>
  </sheetViews>
  <sheetFormatPr defaultRowHeight="14.5" x14ac:dyDescent="0.35"/>
  <cols>
    <col min="1" max="1" width="45.1796875" bestFit="1" customWidth="1"/>
    <col min="2" max="2" width="29" bestFit="1" customWidth="1"/>
    <col min="3" max="3" width="17.453125" bestFit="1" customWidth="1"/>
    <col min="4" max="4" width="20.7265625" bestFit="1" customWidth="1"/>
    <col min="5" max="5" width="17.54296875" bestFit="1" customWidth="1"/>
    <col min="6" max="6" width="16.54296875" bestFit="1" customWidth="1"/>
    <col min="8" max="8" width="29" bestFit="1" customWidth="1"/>
    <col min="9" max="9" width="12.453125" bestFit="1" customWidth="1"/>
    <col min="10" max="10" width="8.81640625" bestFit="1" customWidth="1"/>
    <col min="11" max="11" width="12.1796875" bestFit="1" customWidth="1"/>
  </cols>
  <sheetData>
    <row r="1" spans="1:6" x14ac:dyDescent="0.35">
      <c r="A1" s="469" t="s">
        <v>696</v>
      </c>
      <c r="B1" s="469"/>
      <c r="C1" s="469"/>
      <c r="D1" s="469"/>
      <c r="E1" s="469"/>
      <c r="F1" s="469"/>
    </row>
    <row r="2" spans="1:6" x14ac:dyDescent="0.35">
      <c r="A2" s="48" t="s">
        <v>145</v>
      </c>
      <c r="B2" s="48" t="s">
        <v>132</v>
      </c>
      <c r="C2" s="48" t="s">
        <v>134</v>
      </c>
      <c r="D2" s="48" t="s">
        <v>697</v>
      </c>
      <c r="E2" s="48" t="s">
        <v>209</v>
      </c>
      <c r="F2" s="48" t="s">
        <v>177</v>
      </c>
    </row>
    <row r="3" spans="1:6" x14ac:dyDescent="0.35">
      <c r="A3" s="470" t="s">
        <v>146</v>
      </c>
      <c r="B3" s="30" t="s">
        <v>133</v>
      </c>
      <c r="C3" s="30" t="s">
        <v>136</v>
      </c>
      <c r="D3" s="30">
        <v>12</v>
      </c>
      <c r="E3" s="32">
        <v>220</v>
      </c>
      <c r="F3" s="32">
        <f>D3*E3</f>
        <v>2640</v>
      </c>
    </row>
    <row r="4" spans="1:6" x14ac:dyDescent="0.35">
      <c r="A4" s="470"/>
      <c r="B4" s="30" t="s">
        <v>63</v>
      </c>
      <c r="C4" s="30" t="s">
        <v>137</v>
      </c>
      <c r="D4" s="30">
        <v>8</v>
      </c>
      <c r="E4" s="32">
        <f>D12</f>
        <v>59.92</v>
      </c>
      <c r="F4" s="32">
        <f>D4*E4</f>
        <v>479.36</v>
      </c>
    </row>
    <row r="5" spans="1:6" x14ac:dyDescent="0.35">
      <c r="A5" s="470" t="s">
        <v>147</v>
      </c>
      <c r="B5" s="30" t="s">
        <v>133</v>
      </c>
      <c r="C5" s="30" t="s">
        <v>136</v>
      </c>
      <c r="D5" s="30">
        <v>12</v>
      </c>
      <c r="E5" s="32">
        <v>220</v>
      </c>
      <c r="F5" s="32">
        <f t="shared" ref="F5:F6" si="0">D5*E5</f>
        <v>2640</v>
      </c>
    </row>
    <row r="6" spans="1:6" x14ac:dyDescent="0.35">
      <c r="A6" s="470"/>
      <c r="B6" s="30" t="s">
        <v>63</v>
      </c>
      <c r="C6" s="30" t="s">
        <v>137</v>
      </c>
      <c r="D6" s="30">
        <v>8</v>
      </c>
      <c r="E6" s="32">
        <f>D14</f>
        <v>107.095</v>
      </c>
      <c r="F6" s="32">
        <f t="shared" si="0"/>
        <v>856.76</v>
      </c>
    </row>
    <row r="7" spans="1:6" x14ac:dyDescent="0.35">
      <c r="A7" s="471" t="s">
        <v>148</v>
      </c>
      <c r="B7" s="471"/>
      <c r="C7" s="471"/>
      <c r="D7" s="471"/>
      <c r="E7" s="471"/>
      <c r="F7" s="60">
        <f>SUM(F3:F6)</f>
        <v>6616.1200000000008</v>
      </c>
    </row>
    <row r="10" spans="1:6" x14ac:dyDescent="0.35">
      <c r="B10" s="468" t="s">
        <v>138</v>
      </c>
      <c r="C10" s="468"/>
      <c r="D10" s="468"/>
    </row>
    <row r="11" spans="1:6" x14ac:dyDescent="0.35">
      <c r="B11" s="93" t="s">
        <v>131</v>
      </c>
      <c r="C11" s="93" t="s">
        <v>143</v>
      </c>
      <c r="D11" s="93" t="s">
        <v>144</v>
      </c>
    </row>
    <row r="12" spans="1:6" x14ac:dyDescent="0.35">
      <c r="B12" s="87" t="s">
        <v>139</v>
      </c>
      <c r="C12" s="88">
        <v>60.2</v>
      </c>
      <c r="D12" s="467">
        <f>AVERAGE(C12:C13)</f>
        <v>59.92</v>
      </c>
    </row>
    <row r="13" spans="1:6" x14ac:dyDescent="0.35">
      <c r="B13" s="87" t="s">
        <v>140</v>
      </c>
      <c r="C13" s="88">
        <v>59.64</v>
      </c>
      <c r="D13" s="467"/>
    </row>
    <row r="14" spans="1:6" x14ac:dyDescent="0.35">
      <c r="B14" s="87" t="s">
        <v>141</v>
      </c>
      <c r="C14" s="88">
        <v>107.89</v>
      </c>
      <c r="D14" s="467">
        <f>AVERAGE(C14:C15)</f>
        <v>107.095</v>
      </c>
    </row>
    <row r="15" spans="1:6" x14ac:dyDescent="0.35">
      <c r="B15" s="87" t="s">
        <v>142</v>
      </c>
      <c r="C15" s="88">
        <v>106.3</v>
      </c>
      <c r="D15" s="467"/>
    </row>
  </sheetData>
  <sheetProtection algorithmName="SHA-512" hashValue="aYSD1vYvUIO9Ygz+XHMvUwW9gh6CTHHIiGeCkE+ZyGGMsLz73XV8q1ro3Dd9/bD/KfOOueDEJRNsZtlpgyXKkA==" saltValue="bTGmnXZYLJjwMRa1AX9tbw==" spinCount="100000" sheet="1" objects="1" scenarios="1"/>
  <mergeCells count="7">
    <mergeCell ref="D12:D13"/>
    <mergeCell ref="D14:D15"/>
    <mergeCell ref="B10:D10"/>
    <mergeCell ref="A1:F1"/>
    <mergeCell ref="A5:A6"/>
    <mergeCell ref="A7:E7"/>
    <mergeCell ref="A3:A4"/>
  </mergeCells>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E9677-A3CB-4549-B0BC-3520C8D4AA8B}">
  <sheetPr>
    <tabColor theme="3" tint="0.59999389629810485"/>
  </sheetPr>
  <dimension ref="A1:J294"/>
  <sheetViews>
    <sheetView zoomScale="80" zoomScaleNormal="80" workbookViewId="0">
      <selection activeCell="E3" sqref="E3"/>
    </sheetView>
  </sheetViews>
  <sheetFormatPr defaultRowHeight="14.5" x14ac:dyDescent="0.35"/>
  <cols>
    <col min="1" max="1" width="4.54296875" bestFit="1" customWidth="1"/>
    <col min="2" max="2" width="67" customWidth="1"/>
    <col min="3" max="3" width="17.81640625" customWidth="1"/>
    <col min="4" max="4" width="20.26953125" customWidth="1"/>
    <col min="5" max="5" width="19.7265625" bestFit="1" customWidth="1"/>
    <col min="6" max="6" width="18.7265625" bestFit="1" customWidth="1"/>
    <col min="9" max="9" width="43.26953125" customWidth="1"/>
    <col min="10" max="10" width="13" customWidth="1"/>
  </cols>
  <sheetData>
    <row r="1" spans="1:10" x14ac:dyDescent="0.35">
      <c r="A1" s="477" t="s">
        <v>373</v>
      </c>
      <c r="B1" s="477"/>
      <c r="C1" s="477"/>
      <c r="D1" s="477"/>
      <c r="E1" s="477"/>
      <c r="F1" s="477"/>
      <c r="H1" s="468" t="s">
        <v>374</v>
      </c>
      <c r="I1" s="468"/>
      <c r="J1" s="468"/>
    </row>
    <row r="2" spans="1:10" ht="28" x14ac:dyDescent="0.35">
      <c r="A2" s="48" t="s">
        <v>172</v>
      </c>
      <c r="B2" s="48" t="s">
        <v>181</v>
      </c>
      <c r="C2" s="48" t="s">
        <v>134</v>
      </c>
      <c r="D2" s="49" t="s">
        <v>375</v>
      </c>
      <c r="E2" s="50" t="s">
        <v>376</v>
      </c>
      <c r="F2" s="50" t="s">
        <v>210</v>
      </c>
      <c r="H2" s="51" t="s">
        <v>172</v>
      </c>
      <c r="I2" s="51" t="s">
        <v>377</v>
      </c>
      <c r="J2" s="52" t="s">
        <v>378</v>
      </c>
    </row>
    <row r="3" spans="1:10" x14ac:dyDescent="0.35">
      <c r="A3" s="30">
        <v>1</v>
      </c>
      <c r="B3" s="31" t="s">
        <v>379</v>
      </c>
      <c r="C3" s="30" t="s">
        <v>380</v>
      </c>
      <c r="D3" s="30">
        <v>1</v>
      </c>
      <c r="E3" s="168">
        <v>678.69333333333327</v>
      </c>
      <c r="F3" s="32">
        <f>D3*E3</f>
        <v>678.69333333333327</v>
      </c>
      <c r="H3" s="30">
        <v>1</v>
      </c>
      <c r="I3" s="30" t="s">
        <v>381</v>
      </c>
      <c r="J3" s="169">
        <v>3.4500000000000003E-2</v>
      </c>
    </row>
    <row r="4" spans="1:10" x14ac:dyDescent="0.35">
      <c r="A4" s="30">
        <v>2</v>
      </c>
      <c r="B4" s="31" t="s">
        <v>382</v>
      </c>
      <c r="C4" s="30" t="s">
        <v>380</v>
      </c>
      <c r="D4" s="30">
        <v>1</v>
      </c>
      <c r="E4" s="168">
        <v>571.9666666666667</v>
      </c>
      <c r="F4" s="32">
        <f t="shared" ref="F4:F67" si="0">D4*E4</f>
        <v>571.9666666666667</v>
      </c>
      <c r="H4" s="30">
        <v>2</v>
      </c>
      <c r="I4" s="30" t="s">
        <v>383</v>
      </c>
      <c r="J4" s="169">
        <v>4.7999999999999996E-3</v>
      </c>
    </row>
    <row r="5" spans="1:10" x14ac:dyDescent="0.35">
      <c r="A5" s="30">
        <v>3</v>
      </c>
      <c r="B5" s="31" t="s">
        <v>384</v>
      </c>
      <c r="C5" s="30" t="s">
        <v>380</v>
      </c>
      <c r="D5" s="30">
        <v>1</v>
      </c>
      <c r="E5" s="168">
        <v>799.42666666666673</v>
      </c>
      <c r="F5" s="32">
        <f t="shared" si="0"/>
        <v>799.42666666666673</v>
      </c>
      <c r="H5" s="30">
        <v>3</v>
      </c>
      <c r="I5" s="30" t="s">
        <v>385</v>
      </c>
      <c r="J5" s="170">
        <v>8.5000000000000006E-3</v>
      </c>
    </row>
    <row r="6" spans="1:10" x14ac:dyDescent="0.35">
      <c r="A6" s="30">
        <v>4</v>
      </c>
      <c r="B6" s="31" t="s">
        <v>386</v>
      </c>
      <c r="C6" s="30" t="s">
        <v>380</v>
      </c>
      <c r="D6" s="30">
        <v>1</v>
      </c>
      <c r="E6" s="168">
        <v>1487.32</v>
      </c>
      <c r="F6" s="32">
        <f t="shared" si="0"/>
        <v>1487.32</v>
      </c>
      <c r="H6" s="30">
        <v>4</v>
      </c>
      <c r="I6" s="30" t="s">
        <v>387</v>
      </c>
      <c r="J6" s="169">
        <v>8.5000000000000006E-3</v>
      </c>
    </row>
    <row r="7" spans="1:10" x14ac:dyDescent="0.35">
      <c r="A7" s="30">
        <v>5</v>
      </c>
      <c r="B7" s="31" t="s">
        <v>388</v>
      </c>
      <c r="C7" s="30" t="s">
        <v>380</v>
      </c>
      <c r="D7" s="30">
        <v>1</v>
      </c>
      <c r="E7" s="168">
        <v>1811.0833333333333</v>
      </c>
      <c r="F7" s="32">
        <f t="shared" si="0"/>
        <v>1811.0833333333333</v>
      </c>
      <c r="H7" s="30">
        <v>5</v>
      </c>
      <c r="I7" s="30" t="s">
        <v>113</v>
      </c>
      <c r="J7" s="169">
        <v>5.11E-2</v>
      </c>
    </row>
    <row r="8" spans="1:10" x14ac:dyDescent="0.35">
      <c r="A8" s="30">
        <v>6</v>
      </c>
      <c r="B8" s="31" t="s">
        <v>389</v>
      </c>
      <c r="C8" s="30" t="s">
        <v>380</v>
      </c>
      <c r="D8" s="30">
        <v>1</v>
      </c>
      <c r="E8" s="168">
        <v>2085.0566666666668</v>
      </c>
      <c r="F8" s="32">
        <f t="shared" si="0"/>
        <v>2085.0566666666668</v>
      </c>
      <c r="H8" s="30">
        <v>6</v>
      </c>
      <c r="I8" s="156" t="s">
        <v>114</v>
      </c>
      <c r="J8" s="171">
        <f>SUM(J9:J12)</f>
        <v>3.6499999999999998E-2</v>
      </c>
    </row>
    <row r="9" spans="1:10" x14ac:dyDescent="0.35">
      <c r="A9" s="30">
        <v>7</v>
      </c>
      <c r="B9" s="31" t="s">
        <v>390</v>
      </c>
      <c r="C9" s="30" t="s">
        <v>380</v>
      </c>
      <c r="D9" s="30">
        <v>2</v>
      </c>
      <c r="E9" s="168">
        <v>29.75</v>
      </c>
      <c r="F9" s="32">
        <f t="shared" si="0"/>
        <v>59.5</v>
      </c>
      <c r="H9" s="54" t="s">
        <v>391</v>
      </c>
      <c r="I9" s="172" t="s">
        <v>392</v>
      </c>
      <c r="J9" s="173">
        <v>0</v>
      </c>
    </row>
    <row r="10" spans="1:10" x14ac:dyDescent="0.35">
      <c r="A10" s="30">
        <v>8</v>
      </c>
      <c r="B10" s="31" t="s">
        <v>393</v>
      </c>
      <c r="C10" s="30" t="s">
        <v>380</v>
      </c>
      <c r="D10" s="30">
        <v>2</v>
      </c>
      <c r="E10" s="168">
        <v>44.273333333333333</v>
      </c>
      <c r="F10" s="32">
        <f t="shared" si="0"/>
        <v>88.546666666666667</v>
      </c>
      <c r="H10" s="54" t="s">
        <v>394</v>
      </c>
      <c r="I10" s="172" t="s">
        <v>395</v>
      </c>
      <c r="J10" s="173">
        <f>Eletrotécnico!G144</f>
        <v>6.4999999999999997E-3</v>
      </c>
    </row>
    <row r="11" spans="1:10" x14ac:dyDescent="0.35">
      <c r="A11" s="30">
        <v>9</v>
      </c>
      <c r="B11" s="31" t="s">
        <v>396</v>
      </c>
      <c r="C11" s="30" t="s">
        <v>380</v>
      </c>
      <c r="D11" s="30">
        <v>2</v>
      </c>
      <c r="E11" s="168">
        <v>79.206666666666663</v>
      </c>
      <c r="F11" s="32">
        <f t="shared" si="0"/>
        <v>158.41333333333333</v>
      </c>
      <c r="H11" s="55" t="s">
        <v>397</v>
      </c>
      <c r="I11" s="172" t="s">
        <v>398</v>
      </c>
      <c r="J11" s="173">
        <f>Eletrotécnico!G143</f>
        <v>0.03</v>
      </c>
    </row>
    <row r="12" spans="1:10" x14ac:dyDescent="0.35">
      <c r="A12" s="30">
        <v>10</v>
      </c>
      <c r="B12" s="31" t="s">
        <v>399</v>
      </c>
      <c r="C12" s="30" t="s">
        <v>380</v>
      </c>
      <c r="D12" s="30">
        <v>2</v>
      </c>
      <c r="E12" s="168">
        <v>76.61999999999999</v>
      </c>
      <c r="F12" s="32">
        <f t="shared" si="0"/>
        <v>153.23999999999998</v>
      </c>
      <c r="H12" s="55" t="s">
        <v>400</v>
      </c>
      <c r="I12" s="172" t="s">
        <v>401</v>
      </c>
      <c r="J12" s="173">
        <f>Eletrotécnico!G146</f>
        <v>0</v>
      </c>
    </row>
    <row r="13" spans="1:10" x14ac:dyDescent="0.35">
      <c r="A13" s="30">
        <v>11</v>
      </c>
      <c r="B13" s="31" t="s">
        <v>402</v>
      </c>
      <c r="C13" s="30" t="s">
        <v>380</v>
      </c>
      <c r="D13" s="30">
        <v>1</v>
      </c>
      <c r="E13" s="168">
        <v>259.41000000000003</v>
      </c>
      <c r="F13" s="32">
        <f t="shared" si="0"/>
        <v>259.41000000000003</v>
      </c>
      <c r="H13" s="478" t="s">
        <v>403</v>
      </c>
      <c r="I13" s="478"/>
      <c r="J13" s="56">
        <f>ROUND(((1+(J3+J4+J5))*(1+J6)*(1+J7)/(1-J8))-1,4)</f>
        <v>0.15279999999999999</v>
      </c>
    </row>
    <row r="14" spans="1:10" x14ac:dyDescent="0.35">
      <c r="A14" s="30">
        <v>12</v>
      </c>
      <c r="B14" s="31" t="s">
        <v>404</v>
      </c>
      <c r="C14" s="30" t="s">
        <v>405</v>
      </c>
      <c r="D14" s="30">
        <v>150</v>
      </c>
      <c r="E14" s="168">
        <v>3.4892400000000001</v>
      </c>
      <c r="F14" s="32">
        <f t="shared" si="0"/>
        <v>523.38599999999997</v>
      </c>
      <c r="J14" s="23"/>
    </row>
    <row r="15" spans="1:10" x14ac:dyDescent="0.35">
      <c r="A15" s="30">
        <v>13</v>
      </c>
      <c r="B15" s="31" t="s">
        <v>406</v>
      </c>
      <c r="C15" s="30" t="s">
        <v>380</v>
      </c>
      <c r="D15" s="30">
        <v>2</v>
      </c>
      <c r="E15" s="168">
        <v>45</v>
      </c>
      <c r="F15" s="32">
        <f t="shared" si="0"/>
        <v>90</v>
      </c>
      <c r="H15" s="479" t="s">
        <v>407</v>
      </c>
      <c r="I15" s="479"/>
      <c r="J15" s="479"/>
    </row>
    <row r="16" spans="1:10" x14ac:dyDescent="0.35">
      <c r="A16" s="30">
        <v>14</v>
      </c>
      <c r="B16" s="31" t="s">
        <v>408</v>
      </c>
      <c r="C16" s="30" t="s">
        <v>380</v>
      </c>
      <c r="D16" s="30">
        <v>8</v>
      </c>
      <c r="E16" s="168">
        <v>45.59</v>
      </c>
      <c r="F16" s="32">
        <f t="shared" si="0"/>
        <v>364.72</v>
      </c>
      <c r="H16" s="26"/>
      <c r="I16" s="26"/>
      <c r="J16" s="61"/>
    </row>
    <row r="17" spans="1:10" ht="28.5" customHeight="1" x14ac:dyDescent="0.35">
      <c r="A17" s="30">
        <v>15</v>
      </c>
      <c r="B17" s="31" t="s">
        <v>409</v>
      </c>
      <c r="C17" s="30" t="s">
        <v>380</v>
      </c>
      <c r="D17" s="30">
        <v>1</v>
      </c>
      <c r="E17" s="168">
        <v>190.32000000000002</v>
      </c>
      <c r="F17" s="32">
        <f t="shared" si="0"/>
        <v>190.32000000000002</v>
      </c>
      <c r="H17" s="480" t="s">
        <v>698</v>
      </c>
      <c r="I17" s="480"/>
      <c r="J17" s="480"/>
    </row>
    <row r="18" spans="1:10" ht="14.5" customHeight="1" x14ac:dyDescent="0.35">
      <c r="A18" s="30">
        <v>16</v>
      </c>
      <c r="B18" s="31" t="s">
        <v>410</v>
      </c>
      <c r="C18" s="30" t="s">
        <v>380</v>
      </c>
      <c r="D18" s="30">
        <v>1</v>
      </c>
      <c r="E18" s="168">
        <v>368.82</v>
      </c>
      <c r="F18" s="32">
        <f t="shared" si="0"/>
        <v>368.82</v>
      </c>
      <c r="H18" s="62" t="s">
        <v>411</v>
      </c>
      <c r="I18" s="63"/>
      <c r="J18" s="63"/>
    </row>
    <row r="19" spans="1:10" x14ac:dyDescent="0.35">
      <c r="A19" s="30">
        <v>17</v>
      </c>
      <c r="B19" s="31" t="s">
        <v>412</v>
      </c>
      <c r="C19" s="30" t="s">
        <v>380</v>
      </c>
      <c r="D19" s="30">
        <v>8</v>
      </c>
      <c r="E19" s="168">
        <v>59.9</v>
      </c>
      <c r="F19" s="32">
        <f t="shared" si="0"/>
        <v>479.2</v>
      </c>
      <c r="H19" s="63" t="s">
        <v>413</v>
      </c>
      <c r="I19" s="63"/>
      <c r="J19" s="63"/>
    </row>
    <row r="20" spans="1:10" x14ac:dyDescent="0.35">
      <c r="A20" s="30">
        <v>18</v>
      </c>
      <c r="B20" s="31" t="s">
        <v>414</v>
      </c>
      <c r="C20" s="30" t="s">
        <v>380</v>
      </c>
      <c r="D20" s="30">
        <v>6</v>
      </c>
      <c r="E20" s="168">
        <v>233.61</v>
      </c>
      <c r="F20" s="32">
        <f t="shared" si="0"/>
        <v>1401.66</v>
      </c>
      <c r="H20" s="476" t="s">
        <v>415</v>
      </c>
      <c r="I20" s="476"/>
      <c r="J20" s="476"/>
    </row>
    <row r="21" spans="1:10" x14ac:dyDescent="0.35">
      <c r="A21" s="30">
        <v>19</v>
      </c>
      <c r="B21" s="31" t="s">
        <v>416</v>
      </c>
      <c r="C21" s="30" t="s">
        <v>380</v>
      </c>
      <c r="D21" s="30">
        <v>6</v>
      </c>
      <c r="E21" s="168">
        <v>278.64</v>
      </c>
      <c r="F21" s="32">
        <f t="shared" si="0"/>
        <v>1671.84</v>
      </c>
      <c r="H21" s="476" t="s">
        <v>417</v>
      </c>
      <c r="I21" s="476"/>
      <c r="J21" s="476"/>
    </row>
    <row r="22" spans="1:10" x14ac:dyDescent="0.35">
      <c r="A22" s="30">
        <v>20</v>
      </c>
      <c r="B22" s="31" t="s">
        <v>418</v>
      </c>
      <c r="C22" s="30" t="s">
        <v>380</v>
      </c>
      <c r="D22" s="30">
        <v>6</v>
      </c>
      <c r="E22" s="168">
        <v>303.89</v>
      </c>
      <c r="F22" s="32">
        <f t="shared" si="0"/>
        <v>1823.34</v>
      </c>
      <c r="H22" s="476" t="s">
        <v>419</v>
      </c>
      <c r="I22" s="476"/>
      <c r="J22" s="476"/>
    </row>
    <row r="23" spans="1:10" x14ac:dyDescent="0.35">
      <c r="A23" s="30">
        <v>21</v>
      </c>
      <c r="B23" s="31" t="s">
        <v>420</v>
      </c>
      <c r="C23" s="30" t="s">
        <v>380</v>
      </c>
      <c r="D23" s="30">
        <v>3</v>
      </c>
      <c r="E23" s="168">
        <v>179.22</v>
      </c>
      <c r="F23" s="32">
        <f t="shared" si="0"/>
        <v>537.66</v>
      </c>
      <c r="H23" s="476" t="s">
        <v>421</v>
      </c>
      <c r="I23" s="476"/>
      <c r="J23" s="476"/>
    </row>
    <row r="24" spans="1:10" x14ac:dyDescent="0.35">
      <c r="A24" s="30">
        <v>22</v>
      </c>
      <c r="B24" s="31" t="s">
        <v>422</v>
      </c>
      <c r="C24" s="30" t="s">
        <v>380</v>
      </c>
      <c r="D24" s="30">
        <v>3</v>
      </c>
      <c r="E24" s="168">
        <v>143.56333333333336</v>
      </c>
      <c r="F24" s="32">
        <f t="shared" si="0"/>
        <v>430.69000000000005</v>
      </c>
      <c r="H24" s="476" t="s">
        <v>423</v>
      </c>
      <c r="I24" s="476"/>
      <c r="J24" s="476"/>
    </row>
    <row r="25" spans="1:10" x14ac:dyDescent="0.35">
      <c r="A25" s="30">
        <v>23</v>
      </c>
      <c r="B25" s="31" t="s">
        <v>424</v>
      </c>
      <c r="C25" s="30" t="s">
        <v>380</v>
      </c>
      <c r="D25" s="30">
        <v>2</v>
      </c>
      <c r="E25" s="168">
        <v>232.45666666666662</v>
      </c>
      <c r="F25" s="32">
        <f t="shared" si="0"/>
        <v>464.91333333333324</v>
      </c>
      <c r="H25" s="476" t="s">
        <v>425</v>
      </c>
      <c r="I25" s="476"/>
      <c r="J25" s="476"/>
    </row>
    <row r="26" spans="1:10" x14ac:dyDescent="0.35">
      <c r="A26" s="30">
        <v>24</v>
      </c>
      <c r="B26" s="31" t="s">
        <v>426</v>
      </c>
      <c r="C26" s="30" t="s">
        <v>380</v>
      </c>
      <c r="D26" s="30">
        <v>2</v>
      </c>
      <c r="E26" s="168">
        <v>262.42666666666668</v>
      </c>
      <c r="F26" s="32">
        <f t="shared" si="0"/>
        <v>524.85333333333335</v>
      </c>
    </row>
    <row r="27" spans="1:10" x14ac:dyDescent="0.35">
      <c r="A27" s="30">
        <v>25</v>
      </c>
      <c r="B27" s="31" t="s">
        <v>427</v>
      </c>
      <c r="C27" s="30" t="s">
        <v>380</v>
      </c>
      <c r="D27" s="30">
        <v>2</v>
      </c>
      <c r="E27" s="168">
        <v>1523.99</v>
      </c>
      <c r="F27" s="32">
        <f t="shared" si="0"/>
        <v>3047.98</v>
      </c>
    </row>
    <row r="28" spans="1:10" x14ac:dyDescent="0.35">
      <c r="A28" s="30">
        <v>26</v>
      </c>
      <c r="B28" s="31" t="s">
        <v>428</v>
      </c>
      <c r="C28" s="30" t="s">
        <v>380</v>
      </c>
      <c r="D28" s="30">
        <v>2</v>
      </c>
      <c r="E28" s="168">
        <v>1097.72</v>
      </c>
      <c r="F28" s="32">
        <f t="shared" si="0"/>
        <v>2195.44</v>
      </c>
    </row>
    <row r="29" spans="1:10" x14ac:dyDescent="0.35">
      <c r="A29" s="30">
        <v>27</v>
      </c>
      <c r="B29" s="31" t="s">
        <v>429</v>
      </c>
      <c r="C29" s="30" t="s">
        <v>380</v>
      </c>
      <c r="D29" s="30">
        <v>5</v>
      </c>
      <c r="E29" s="168">
        <v>983.37333333333333</v>
      </c>
      <c r="F29" s="32">
        <f t="shared" si="0"/>
        <v>4916.8666666666668</v>
      </c>
    </row>
    <row r="30" spans="1:10" x14ac:dyDescent="0.35">
      <c r="A30" s="30">
        <v>28</v>
      </c>
      <c r="B30" s="31" t="s">
        <v>430</v>
      </c>
      <c r="C30" s="30" t="s">
        <v>380</v>
      </c>
      <c r="D30" s="30">
        <v>5</v>
      </c>
      <c r="E30" s="168">
        <v>952.33666666666659</v>
      </c>
      <c r="F30" s="32">
        <f t="shared" si="0"/>
        <v>4761.6833333333325</v>
      </c>
    </row>
    <row r="31" spans="1:10" x14ac:dyDescent="0.35">
      <c r="A31" s="30">
        <v>29</v>
      </c>
      <c r="B31" s="31" t="s">
        <v>431</v>
      </c>
      <c r="C31" s="30" t="s">
        <v>380</v>
      </c>
      <c r="D31" s="30">
        <v>3</v>
      </c>
      <c r="E31" s="168">
        <v>902.95333333333338</v>
      </c>
      <c r="F31" s="32">
        <f t="shared" si="0"/>
        <v>2708.86</v>
      </c>
    </row>
    <row r="32" spans="1:10" x14ac:dyDescent="0.35">
      <c r="A32" s="30">
        <v>30</v>
      </c>
      <c r="B32" s="31" t="s">
        <v>432</v>
      </c>
      <c r="C32" s="30" t="s">
        <v>380</v>
      </c>
      <c r="D32" s="30">
        <v>3</v>
      </c>
      <c r="E32" s="168">
        <v>1061.0766666666668</v>
      </c>
      <c r="F32" s="32">
        <f t="shared" si="0"/>
        <v>3183.2300000000005</v>
      </c>
    </row>
    <row r="33" spans="1:6" x14ac:dyDescent="0.35">
      <c r="A33" s="30">
        <v>31</v>
      </c>
      <c r="B33" s="31" t="s">
        <v>433</v>
      </c>
      <c r="C33" s="30" t="s">
        <v>380</v>
      </c>
      <c r="D33" s="30">
        <v>2</v>
      </c>
      <c r="E33" s="168">
        <v>25.153333333333336</v>
      </c>
      <c r="F33" s="32">
        <f t="shared" si="0"/>
        <v>50.306666666666672</v>
      </c>
    </row>
    <row r="34" spans="1:6" x14ac:dyDescent="0.35">
      <c r="A34" s="30">
        <v>32</v>
      </c>
      <c r="B34" s="31" t="s">
        <v>434</v>
      </c>
      <c r="C34" s="30" t="s">
        <v>380</v>
      </c>
      <c r="D34" s="30">
        <v>2</v>
      </c>
      <c r="E34" s="168">
        <v>45.67</v>
      </c>
      <c r="F34" s="32">
        <f t="shared" si="0"/>
        <v>91.34</v>
      </c>
    </row>
    <row r="35" spans="1:6" x14ac:dyDescent="0.35">
      <c r="A35" s="30">
        <v>33</v>
      </c>
      <c r="B35" s="31" t="s">
        <v>435</v>
      </c>
      <c r="C35" s="30" t="s">
        <v>380</v>
      </c>
      <c r="D35" s="30">
        <v>2</v>
      </c>
      <c r="E35" s="168">
        <v>58.76</v>
      </c>
      <c r="F35" s="32">
        <f t="shared" si="0"/>
        <v>117.52</v>
      </c>
    </row>
    <row r="36" spans="1:6" x14ac:dyDescent="0.35">
      <c r="A36" s="30">
        <v>34</v>
      </c>
      <c r="B36" s="31" t="s">
        <v>436</v>
      </c>
      <c r="C36" s="30" t="s">
        <v>380</v>
      </c>
      <c r="D36" s="30">
        <v>2</v>
      </c>
      <c r="E36" s="168">
        <v>67.73</v>
      </c>
      <c r="F36" s="32">
        <f t="shared" si="0"/>
        <v>135.46</v>
      </c>
    </row>
    <row r="37" spans="1:6" x14ac:dyDescent="0.35">
      <c r="A37" s="30">
        <v>35</v>
      </c>
      <c r="B37" s="31" t="s">
        <v>437</v>
      </c>
      <c r="C37" s="30" t="s">
        <v>380</v>
      </c>
      <c r="D37" s="30">
        <v>2</v>
      </c>
      <c r="E37" s="168">
        <v>25.37</v>
      </c>
      <c r="F37" s="32">
        <f t="shared" si="0"/>
        <v>50.74</v>
      </c>
    </row>
    <row r="38" spans="1:6" ht="28" x14ac:dyDescent="0.35">
      <c r="A38" s="30">
        <v>36</v>
      </c>
      <c r="B38" s="31" t="s">
        <v>438</v>
      </c>
      <c r="C38" s="30" t="s">
        <v>439</v>
      </c>
      <c r="D38" s="30">
        <v>60</v>
      </c>
      <c r="E38" s="168">
        <v>16.899999999999999</v>
      </c>
      <c r="F38" s="32">
        <f t="shared" si="0"/>
        <v>1013.9999999999999</v>
      </c>
    </row>
    <row r="39" spans="1:6" x14ac:dyDescent="0.35">
      <c r="A39" s="30">
        <v>37</v>
      </c>
      <c r="B39" s="31" t="s">
        <v>440</v>
      </c>
      <c r="C39" s="30" t="s">
        <v>380</v>
      </c>
      <c r="D39" s="30">
        <v>5</v>
      </c>
      <c r="E39" s="168">
        <v>39.83</v>
      </c>
      <c r="F39" s="32">
        <f t="shared" si="0"/>
        <v>199.14999999999998</v>
      </c>
    </row>
    <row r="40" spans="1:6" x14ac:dyDescent="0.35">
      <c r="A40" s="30">
        <v>38</v>
      </c>
      <c r="B40" s="31" t="s">
        <v>441</v>
      </c>
      <c r="C40" s="30" t="s">
        <v>380</v>
      </c>
      <c r="D40" s="30">
        <v>5</v>
      </c>
      <c r="E40" s="168">
        <v>177.84333333333336</v>
      </c>
      <c r="F40" s="32">
        <f t="shared" si="0"/>
        <v>889.21666666666681</v>
      </c>
    </row>
    <row r="41" spans="1:6" x14ac:dyDescent="0.35">
      <c r="A41" s="30">
        <v>39</v>
      </c>
      <c r="B41" s="31" t="s">
        <v>442</v>
      </c>
      <c r="C41" s="30" t="s">
        <v>405</v>
      </c>
      <c r="D41" s="30">
        <v>100</v>
      </c>
      <c r="E41" s="168">
        <v>11.96</v>
      </c>
      <c r="F41" s="32">
        <f t="shared" si="0"/>
        <v>1196</v>
      </c>
    </row>
    <row r="42" spans="1:6" x14ac:dyDescent="0.35">
      <c r="A42" s="30">
        <v>40</v>
      </c>
      <c r="B42" s="31" t="s">
        <v>443</v>
      </c>
      <c r="C42" s="30" t="s">
        <v>380</v>
      </c>
      <c r="D42" s="30">
        <v>20</v>
      </c>
      <c r="E42" s="168">
        <v>55.086666666666666</v>
      </c>
      <c r="F42" s="32">
        <f t="shared" si="0"/>
        <v>1101.7333333333333</v>
      </c>
    </row>
    <row r="43" spans="1:6" x14ac:dyDescent="0.35">
      <c r="A43" s="30">
        <v>41</v>
      </c>
      <c r="B43" s="31" t="s">
        <v>444</v>
      </c>
      <c r="C43" s="30" t="s">
        <v>380</v>
      </c>
      <c r="D43" s="30">
        <v>20</v>
      </c>
      <c r="E43" s="168">
        <v>47.73</v>
      </c>
      <c r="F43" s="32">
        <f t="shared" si="0"/>
        <v>954.59999999999991</v>
      </c>
    </row>
    <row r="44" spans="1:6" x14ac:dyDescent="0.35">
      <c r="A44" s="30">
        <v>42</v>
      </c>
      <c r="B44" s="31" t="s">
        <v>445</v>
      </c>
      <c r="C44" s="30" t="s">
        <v>380</v>
      </c>
      <c r="D44" s="30">
        <v>10</v>
      </c>
      <c r="E44" s="168">
        <v>42.57</v>
      </c>
      <c r="F44" s="32">
        <f t="shared" si="0"/>
        <v>425.7</v>
      </c>
    </row>
    <row r="45" spans="1:6" x14ac:dyDescent="0.35">
      <c r="A45" s="30">
        <v>43</v>
      </c>
      <c r="B45" s="31" t="s">
        <v>446</v>
      </c>
      <c r="C45" s="30" t="s">
        <v>380</v>
      </c>
      <c r="D45" s="30">
        <v>10</v>
      </c>
      <c r="E45" s="168">
        <v>49.82</v>
      </c>
      <c r="F45" s="32">
        <f t="shared" si="0"/>
        <v>498.2</v>
      </c>
    </row>
    <row r="46" spans="1:6" x14ac:dyDescent="0.35">
      <c r="A46" s="30">
        <v>44</v>
      </c>
      <c r="B46" s="31" t="s">
        <v>447</v>
      </c>
      <c r="C46" s="30" t="s">
        <v>380</v>
      </c>
      <c r="D46" s="30">
        <v>10</v>
      </c>
      <c r="E46" s="168">
        <v>68.680000000000007</v>
      </c>
      <c r="F46" s="32">
        <f t="shared" si="0"/>
        <v>686.80000000000007</v>
      </c>
    </row>
    <row r="47" spans="1:6" x14ac:dyDescent="0.35">
      <c r="A47" s="30">
        <v>45</v>
      </c>
      <c r="B47" s="31" t="s">
        <v>448</v>
      </c>
      <c r="C47" s="30" t="s">
        <v>380</v>
      </c>
      <c r="D47" s="30">
        <v>10</v>
      </c>
      <c r="E47" s="168">
        <v>83.68</v>
      </c>
      <c r="F47" s="32">
        <f t="shared" si="0"/>
        <v>836.80000000000007</v>
      </c>
    </row>
    <row r="48" spans="1:6" x14ac:dyDescent="0.35">
      <c r="A48" s="30">
        <v>46</v>
      </c>
      <c r="B48" s="31" t="s">
        <v>449</v>
      </c>
      <c r="C48" s="30" t="s">
        <v>380</v>
      </c>
      <c r="D48" s="30">
        <v>10</v>
      </c>
      <c r="E48" s="168">
        <v>123.34</v>
      </c>
      <c r="F48" s="32">
        <f t="shared" si="0"/>
        <v>1233.4000000000001</v>
      </c>
    </row>
    <row r="49" spans="1:6" x14ac:dyDescent="0.35">
      <c r="A49" s="30">
        <v>47</v>
      </c>
      <c r="B49" s="31" t="s">
        <v>450</v>
      </c>
      <c r="C49" s="30" t="s">
        <v>380</v>
      </c>
      <c r="D49" s="30">
        <v>1</v>
      </c>
      <c r="E49" s="168">
        <v>1514.35</v>
      </c>
      <c r="F49" s="32">
        <f t="shared" si="0"/>
        <v>1514.35</v>
      </c>
    </row>
    <row r="50" spans="1:6" x14ac:dyDescent="0.35">
      <c r="A50" s="30">
        <v>48</v>
      </c>
      <c r="B50" s="31" t="s">
        <v>451</v>
      </c>
      <c r="C50" s="30" t="s">
        <v>380</v>
      </c>
      <c r="D50" s="30">
        <v>6</v>
      </c>
      <c r="E50" s="168">
        <v>159.09</v>
      </c>
      <c r="F50" s="32">
        <f t="shared" si="0"/>
        <v>954.54</v>
      </c>
    </row>
    <row r="51" spans="1:6" x14ac:dyDescent="0.35">
      <c r="A51" s="30">
        <v>49</v>
      </c>
      <c r="B51" s="31" t="s">
        <v>452</v>
      </c>
      <c r="C51" s="30" t="s">
        <v>380</v>
      </c>
      <c r="D51" s="30">
        <v>10</v>
      </c>
      <c r="E51" s="168">
        <v>35.89</v>
      </c>
      <c r="F51" s="32">
        <f t="shared" si="0"/>
        <v>358.9</v>
      </c>
    </row>
    <row r="52" spans="1:6" x14ac:dyDescent="0.35">
      <c r="A52" s="30">
        <v>50</v>
      </c>
      <c r="B52" s="31" t="s">
        <v>453</v>
      </c>
      <c r="C52" s="30" t="s">
        <v>380</v>
      </c>
      <c r="D52" s="30">
        <v>10</v>
      </c>
      <c r="E52" s="168">
        <v>38.783333333333331</v>
      </c>
      <c r="F52" s="32">
        <f t="shared" si="0"/>
        <v>387.83333333333331</v>
      </c>
    </row>
    <row r="53" spans="1:6" x14ac:dyDescent="0.35">
      <c r="A53" s="30">
        <v>51</v>
      </c>
      <c r="B53" s="31" t="s">
        <v>454</v>
      </c>
      <c r="C53" s="30" t="s">
        <v>380</v>
      </c>
      <c r="D53" s="30">
        <v>10</v>
      </c>
      <c r="E53" s="168">
        <v>47.27</v>
      </c>
      <c r="F53" s="32">
        <f t="shared" si="0"/>
        <v>472.70000000000005</v>
      </c>
    </row>
    <row r="54" spans="1:6" x14ac:dyDescent="0.35">
      <c r="A54" s="30">
        <v>52</v>
      </c>
      <c r="B54" s="31" t="s">
        <v>455</v>
      </c>
      <c r="C54" s="30" t="s">
        <v>380</v>
      </c>
      <c r="D54" s="30">
        <v>10</v>
      </c>
      <c r="E54" s="168">
        <v>46.55</v>
      </c>
      <c r="F54" s="32">
        <f t="shared" si="0"/>
        <v>465.5</v>
      </c>
    </row>
    <row r="55" spans="1:6" x14ac:dyDescent="0.35">
      <c r="A55" s="30">
        <v>53</v>
      </c>
      <c r="B55" s="31" t="s">
        <v>456</v>
      </c>
      <c r="C55" s="30" t="s">
        <v>380</v>
      </c>
      <c r="D55" s="30">
        <v>1</v>
      </c>
      <c r="E55" s="168">
        <v>819.55</v>
      </c>
      <c r="F55" s="32">
        <f t="shared" si="0"/>
        <v>819.55</v>
      </c>
    </row>
    <row r="56" spans="1:6" x14ac:dyDescent="0.35">
      <c r="A56" s="30">
        <v>54</v>
      </c>
      <c r="B56" s="31" t="s">
        <v>457</v>
      </c>
      <c r="C56" s="30" t="s">
        <v>380</v>
      </c>
      <c r="D56" s="30">
        <v>40</v>
      </c>
      <c r="E56" s="168">
        <v>132.83000000000001</v>
      </c>
      <c r="F56" s="32">
        <f t="shared" si="0"/>
        <v>5313.2000000000007</v>
      </c>
    </row>
    <row r="57" spans="1:6" x14ac:dyDescent="0.35">
      <c r="A57" s="30">
        <v>55</v>
      </c>
      <c r="B57" s="31" t="s">
        <v>458</v>
      </c>
      <c r="C57" s="30" t="s">
        <v>380</v>
      </c>
      <c r="D57" s="30">
        <v>100</v>
      </c>
      <c r="E57" s="168">
        <v>0.19</v>
      </c>
      <c r="F57" s="32">
        <f t="shared" si="0"/>
        <v>19</v>
      </c>
    </row>
    <row r="58" spans="1:6" x14ac:dyDescent="0.35">
      <c r="A58" s="30">
        <v>56</v>
      </c>
      <c r="B58" s="31" t="s">
        <v>459</v>
      </c>
      <c r="C58" s="30" t="s">
        <v>380</v>
      </c>
      <c r="D58" s="30">
        <v>100</v>
      </c>
      <c r="E58" s="168">
        <v>0.25</v>
      </c>
      <c r="F58" s="32">
        <f t="shared" si="0"/>
        <v>25</v>
      </c>
    </row>
    <row r="59" spans="1:6" x14ac:dyDescent="0.35">
      <c r="A59" s="30">
        <v>57</v>
      </c>
      <c r="B59" s="31" t="s">
        <v>460</v>
      </c>
      <c r="C59" s="30" t="s">
        <v>380</v>
      </c>
      <c r="D59" s="30">
        <v>100</v>
      </c>
      <c r="E59" s="168">
        <v>1.24</v>
      </c>
      <c r="F59" s="32">
        <f t="shared" si="0"/>
        <v>124</v>
      </c>
    </row>
    <row r="60" spans="1:6" x14ac:dyDescent="0.35">
      <c r="A60" s="30">
        <v>58</v>
      </c>
      <c r="B60" s="31" t="s">
        <v>461</v>
      </c>
      <c r="C60" s="30" t="s">
        <v>380</v>
      </c>
      <c r="D60" s="30">
        <v>50</v>
      </c>
      <c r="E60" s="168">
        <v>2.09</v>
      </c>
      <c r="F60" s="32">
        <f t="shared" si="0"/>
        <v>104.5</v>
      </c>
    </row>
    <row r="61" spans="1:6" x14ac:dyDescent="0.35">
      <c r="A61" s="30">
        <v>59</v>
      </c>
      <c r="B61" s="31" t="s">
        <v>462</v>
      </c>
      <c r="C61" s="30" t="s">
        <v>380</v>
      </c>
      <c r="D61" s="30">
        <v>2</v>
      </c>
      <c r="E61" s="168">
        <v>50</v>
      </c>
      <c r="F61" s="32">
        <f t="shared" si="0"/>
        <v>100</v>
      </c>
    </row>
    <row r="62" spans="1:6" x14ac:dyDescent="0.35">
      <c r="A62" s="30">
        <v>60</v>
      </c>
      <c r="B62" s="31" t="s">
        <v>463</v>
      </c>
      <c r="C62" s="30" t="s">
        <v>380</v>
      </c>
      <c r="D62" s="30">
        <v>300</v>
      </c>
      <c r="E62" s="168">
        <v>0.2</v>
      </c>
      <c r="F62" s="32">
        <f t="shared" si="0"/>
        <v>60</v>
      </c>
    </row>
    <row r="63" spans="1:6" x14ac:dyDescent="0.35">
      <c r="A63" s="30">
        <v>61</v>
      </c>
      <c r="B63" s="31" t="s">
        <v>464</v>
      </c>
      <c r="C63" s="30" t="s">
        <v>380</v>
      </c>
      <c r="D63" s="30">
        <v>300</v>
      </c>
      <c r="E63" s="168">
        <v>0.41</v>
      </c>
      <c r="F63" s="32">
        <f t="shared" si="0"/>
        <v>122.99999999999999</v>
      </c>
    </row>
    <row r="64" spans="1:6" x14ac:dyDescent="0.35">
      <c r="A64" s="30">
        <v>62</v>
      </c>
      <c r="B64" s="31" t="s">
        <v>465</v>
      </c>
      <c r="C64" s="30" t="s">
        <v>380</v>
      </c>
      <c r="D64" s="30">
        <v>100</v>
      </c>
      <c r="E64" s="168">
        <v>0.61</v>
      </c>
      <c r="F64" s="32">
        <f t="shared" si="0"/>
        <v>61</v>
      </c>
    </row>
    <row r="65" spans="1:6" x14ac:dyDescent="0.35">
      <c r="A65" s="30">
        <v>63</v>
      </c>
      <c r="B65" s="31" t="s">
        <v>466</v>
      </c>
      <c r="C65" s="30" t="s">
        <v>380</v>
      </c>
      <c r="D65" s="30">
        <v>100</v>
      </c>
      <c r="E65" s="168">
        <v>0.93</v>
      </c>
      <c r="F65" s="32">
        <f t="shared" si="0"/>
        <v>93</v>
      </c>
    </row>
    <row r="66" spans="1:6" x14ac:dyDescent="0.35">
      <c r="A66" s="30">
        <v>64</v>
      </c>
      <c r="B66" s="31" t="s">
        <v>467</v>
      </c>
      <c r="C66" s="30" t="s">
        <v>405</v>
      </c>
      <c r="D66" s="30">
        <v>50</v>
      </c>
      <c r="E66" s="168">
        <v>10.45</v>
      </c>
      <c r="F66" s="32">
        <f t="shared" si="0"/>
        <v>522.5</v>
      </c>
    </row>
    <row r="67" spans="1:6" ht="28" x14ac:dyDescent="0.35">
      <c r="A67" s="30">
        <v>65</v>
      </c>
      <c r="B67" s="31" t="s">
        <v>468</v>
      </c>
      <c r="C67" s="30" t="s">
        <v>405</v>
      </c>
      <c r="D67" s="30">
        <v>1600</v>
      </c>
      <c r="E67" s="168">
        <v>2.41</v>
      </c>
      <c r="F67" s="32">
        <f t="shared" si="0"/>
        <v>3856</v>
      </c>
    </row>
    <row r="68" spans="1:6" ht="28" x14ac:dyDescent="0.35">
      <c r="A68" s="30">
        <v>66</v>
      </c>
      <c r="B68" s="31" t="s">
        <v>469</v>
      </c>
      <c r="C68" s="30" t="s">
        <v>405</v>
      </c>
      <c r="D68" s="30">
        <v>400</v>
      </c>
      <c r="E68" s="168">
        <v>3.99</v>
      </c>
      <c r="F68" s="32">
        <f t="shared" ref="F68:F131" si="1">D68*E68</f>
        <v>1596</v>
      </c>
    </row>
    <row r="69" spans="1:6" ht="28" x14ac:dyDescent="0.35">
      <c r="A69" s="30">
        <v>67</v>
      </c>
      <c r="B69" s="31" t="s">
        <v>470</v>
      </c>
      <c r="C69" s="30" t="s">
        <v>405</v>
      </c>
      <c r="D69" s="30">
        <v>400</v>
      </c>
      <c r="E69" s="168">
        <v>5.73</v>
      </c>
      <c r="F69" s="32">
        <f t="shared" si="1"/>
        <v>2292</v>
      </c>
    </row>
    <row r="70" spans="1:6" ht="28" x14ac:dyDescent="0.35">
      <c r="A70" s="30">
        <v>68</v>
      </c>
      <c r="B70" s="31" t="s">
        <v>471</v>
      </c>
      <c r="C70" s="30" t="s">
        <v>405</v>
      </c>
      <c r="D70" s="30">
        <v>100</v>
      </c>
      <c r="E70" s="168">
        <v>10.96</v>
      </c>
      <c r="F70" s="32">
        <f t="shared" si="1"/>
        <v>1096</v>
      </c>
    </row>
    <row r="71" spans="1:6" x14ac:dyDescent="0.35">
      <c r="A71" s="30">
        <v>69</v>
      </c>
      <c r="B71" s="31" t="s">
        <v>472</v>
      </c>
      <c r="C71" s="30" t="s">
        <v>405</v>
      </c>
      <c r="D71" s="30">
        <v>300</v>
      </c>
      <c r="E71" s="168">
        <v>1.52</v>
      </c>
      <c r="F71" s="32">
        <f t="shared" si="1"/>
        <v>456</v>
      </c>
    </row>
    <row r="72" spans="1:6" ht="28" x14ac:dyDescent="0.35">
      <c r="A72" s="30">
        <v>70</v>
      </c>
      <c r="B72" s="31" t="s">
        <v>473</v>
      </c>
      <c r="C72" s="30" t="s">
        <v>405</v>
      </c>
      <c r="D72" s="30">
        <v>100</v>
      </c>
      <c r="E72" s="168">
        <v>6.06</v>
      </c>
      <c r="F72" s="32">
        <f t="shared" si="1"/>
        <v>606</v>
      </c>
    </row>
    <row r="73" spans="1:6" ht="28" x14ac:dyDescent="0.35">
      <c r="A73" s="30">
        <v>71</v>
      </c>
      <c r="B73" s="31" t="s">
        <v>474</v>
      </c>
      <c r="C73" s="30" t="s">
        <v>405</v>
      </c>
      <c r="D73" s="30">
        <v>100</v>
      </c>
      <c r="E73" s="168">
        <v>14.06</v>
      </c>
      <c r="F73" s="32">
        <f t="shared" si="1"/>
        <v>1406</v>
      </c>
    </row>
    <row r="74" spans="1:6" ht="28" x14ac:dyDescent="0.35">
      <c r="A74" s="30">
        <v>72</v>
      </c>
      <c r="B74" s="31" t="s">
        <v>475</v>
      </c>
      <c r="C74" s="30" t="s">
        <v>405</v>
      </c>
      <c r="D74" s="30">
        <v>200</v>
      </c>
      <c r="E74" s="168">
        <v>9.1300000000000008</v>
      </c>
      <c r="F74" s="32">
        <f t="shared" si="1"/>
        <v>1826.0000000000002</v>
      </c>
    </row>
    <row r="75" spans="1:6" x14ac:dyDescent="0.35">
      <c r="A75" s="30">
        <v>73</v>
      </c>
      <c r="B75" s="31" t="s">
        <v>476</v>
      </c>
      <c r="C75" s="30" t="s">
        <v>405</v>
      </c>
      <c r="D75" s="30">
        <v>100</v>
      </c>
      <c r="E75" s="168">
        <v>19.489999999999998</v>
      </c>
      <c r="F75" s="32">
        <f t="shared" si="1"/>
        <v>1948.9999999999998</v>
      </c>
    </row>
    <row r="76" spans="1:6" x14ac:dyDescent="0.35">
      <c r="A76" s="30">
        <v>74</v>
      </c>
      <c r="B76" s="31" t="s">
        <v>477</v>
      </c>
      <c r="C76" s="30" t="s">
        <v>405</v>
      </c>
      <c r="D76" s="30">
        <v>50</v>
      </c>
      <c r="E76" s="168">
        <v>15.66</v>
      </c>
      <c r="F76" s="32">
        <f t="shared" si="1"/>
        <v>783</v>
      </c>
    </row>
    <row r="77" spans="1:6" x14ac:dyDescent="0.35">
      <c r="A77" s="30">
        <v>75</v>
      </c>
      <c r="B77" s="31" t="s">
        <v>478</v>
      </c>
      <c r="C77" s="30" t="s">
        <v>405</v>
      </c>
      <c r="D77" s="30">
        <v>50</v>
      </c>
      <c r="E77" s="168">
        <v>25.81</v>
      </c>
      <c r="F77" s="32">
        <f t="shared" si="1"/>
        <v>1290.5</v>
      </c>
    </row>
    <row r="78" spans="1:6" ht="28" x14ac:dyDescent="0.35">
      <c r="A78" s="30">
        <v>76</v>
      </c>
      <c r="B78" s="31" t="s">
        <v>479</v>
      </c>
      <c r="C78" s="30" t="s">
        <v>380</v>
      </c>
      <c r="D78" s="30">
        <v>10</v>
      </c>
      <c r="E78" s="168">
        <v>79.900000000000006</v>
      </c>
      <c r="F78" s="32">
        <f t="shared" si="1"/>
        <v>799</v>
      </c>
    </row>
    <row r="79" spans="1:6" x14ac:dyDescent="0.35">
      <c r="A79" s="30">
        <v>77</v>
      </c>
      <c r="B79" s="31" t="s">
        <v>480</v>
      </c>
      <c r="C79" s="30" t="s">
        <v>380</v>
      </c>
      <c r="D79" s="30">
        <v>1</v>
      </c>
      <c r="E79" s="168">
        <v>14.9</v>
      </c>
      <c r="F79" s="32">
        <f t="shared" si="1"/>
        <v>14.9</v>
      </c>
    </row>
    <row r="80" spans="1:6" x14ac:dyDescent="0.35">
      <c r="A80" s="30">
        <v>78</v>
      </c>
      <c r="B80" s="31" t="s">
        <v>481</v>
      </c>
      <c r="C80" s="30" t="s">
        <v>380</v>
      </c>
      <c r="D80" s="30">
        <v>1</v>
      </c>
      <c r="E80" s="168">
        <v>12.07</v>
      </c>
      <c r="F80" s="32">
        <f t="shared" si="1"/>
        <v>12.07</v>
      </c>
    </row>
    <row r="81" spans="1:6" x14ac:dyDescent="0.35">
      <c r="A81" s="30">
        <v>79</v>
      </c>
      <c r="B81" s="31" t="s">
        <v>482</v>
      </c>
      <c r="C81" s="30" t="s">
        <v>380</v>
      </c>
      <c r="D81" s="30">
        <v>1</v>
      </c>
      <c r="E81" s="168">
        <v>12.47</v>
      </c>
      <c r="F81" s="32">
        <f t="shared" si="1"/>
        <v>12.47</v>
      </c>
    </row>
    <row r="82" spans="1:6" x14ac:dyDescent="0.35">
      <c r="A82" s="30">
        <v>80</v>
      </c>
      <c r="B82" s="31" t="s">
        <v>483</v>
      </c>
      <c r="C82" s="30" t="s">
        <v>380</v>
      </c>
      <c r="D82" s="30">
        <v>10</v>
      </c>
      <c r="E82" s="168">
        <v>13.12</v>
      </c>
      <c r="F82" s="32">
        <f t="shared" si="1"/>
        <v>131.19999999999999</v>
      </c>
    </row>
    <row r="83" spans="1:6" x14ac:dyDescent="0.35">
      <c r="A83" s="30">
        <v>81</v>
      </c>
      <c r="B83" s="31" t="s">
        <v>484</v>
      </c>
      <c r="C83" s="30" t="s">
        <v>380</v>
      </c>
      <c r="D83" s="30">
        <v>10</v>
      </c>
      <c r="E83" s="168">
        <v>18.37</v>
      </c>
      <c r="F83" s="32">
        <f t="shared" si="1"/>
        <v>183.70000000000002</v>
      </c>
    </row>
    <row r="84" spans="1:6" x14ac:dyDescent="0.35">
      <c r="A84" s="30">
        <v>82</v>
      </c>
      <c r="B84" s="31" t="s">
        <v>485</v>
      </c>
      <c r="C84" s="30" t="s">
        <v>380</v>
      </c>
      <c r="D84" s="30">
        <v>10</v>
      </c>
      <c r="E84" s="168">
        <v>3.32</v>
      </c>
      <c r="F84" s="32">
        <f t="shared" si="1"/>
        <v>33.199999999999996</v>
      </c>
    </row>
    <row r="85" spans="1:6" x14ac:dyDescent="0.35">
      <c r="A85" s="30">
        <v>83</v>
      </c>
      <c r="B85" s="31" t="s">
        <v>486</v>
      </c>
      <c r="C85" s="30" t="s">
        <v>380</v>
      </c>
      <c r="D85" s="30">
        <v>10</v>
      </c>
      <c r="E85" s="168">
        <v>3.32</v>
      </c>
      <c r="F85" s="32">
        <f t="shared" si="1"/>
        <v>33.199999999999996</v>
      </c>
    </row>
    <row r="86" spans="1:6" x14ac:dyDescent="0.35">
      <c r="A86" s="30">
        <v>84</v>
      </c>
      <c r="B86" s="31" t="s">
        <v>487</v>
      </c>
      <c r="C86" s="30" t="s">
        <v>380</v>
      </c>
      <c r="D86" s="30">
        <v>4</v>
      </c>
      <c r="E86" s="168">
        <v>8.81</v>
      </c>
      <c r="F86" s="32">
        <f t="shared" si="1"/>
        <v>35.24</v>
      </c>
    </row>
    <row r="87" spans="1:6" x14ac:dyDescent="0.35">
      <c r="A87" s="30">
        <v>85</v>
      </c>
      <c r="B87" s="31" t="s">
        <v>488</v>
      </c>
      <c r="C87" s="30" t="s">
        <v>380</v>
      </c>
      <c r="D87" s="30">
        <v>20</v>
      </c>
      <c r="E87" s="168">
        <v>2.59</v>
      </c>
      <c r="F87" s="32">
        <f t="shared" si="1"/>
        <v>51.8</v>
      </c>
    </row>
    <row r="88" spans="1:6" x14ac:dyDescent="0.35">
      <c r="A88" s="30">
        <v>86</v>
      </c>
      <c r="B88" s="31" t="s">
        <v>489</v>
      </c>
      <c r="C88" s="30" t="s">
        <v>380</v>
      </c>
      <c r="D88" s="30">
        <v>20</v>
      </c>
      <c r="E88" s="168">
        <v>1.2</v>
      </c>
      <c r="F88" s="32">
        <f t="shared" si="1"/>
        <v>24</v>
      </c>
    </row>
    <row r="89" spans="1:6" x14ac:dyDescent="0.35">
      <c r="A89" s="30">
        <v>87</v>
      </c>
      <c r="B89" s="31" t="s">
        <v>490</v>
      </c>
      <c r="C89" s="30" t="s">
        <v>380</v>
      </c>
      <c r="D89" s="30">
        <v>20</v>
      </c>
      <c r="E89" s="168">
        <v>3.58</v>
      </c>
      <c r="F89" s="32">
        <f t="shared" si="1"/>
        <v>71.599999999999994</v>
      </c>
    </row>
    <row r="90" spans="1:6" x14ac:dyDescent="0.35">
      <c r="A90" s="30">
        <v>88</v>
      </c>
      <c r="B90" s="31" t="s">
        <v>491</v>
      </c>
      <c r="C90" s="30" t="s">
        <v>380</v>
      </c>
      <c r="D90" s="30">
        <v>20</v>
      </c>
      <c r="E90" s="168">
        <v>1.67</v>
      </c>
      <c r="F90" s="32">
        <f t="shared" si="1"/>
        <v>33.4</v>
      </c>
    </row>
    <row r="91" spans="1:6" x14ac:dyDescent="0.35">
      <c r="A91" s="30">
        <v>89</v>
      </c>
      <c r="B91" s="31" t="s">
        <v>492</v>
      </c>
      <c r="C91" s="30" t="s">
        <v>405</v>
      </c>
      <c r="D91" s="30">
        <v>60</v>
      </c>
      <c r="E91" s="168">
        <v>4.21</v>
      </c>
      <c r="F91" s="32">
        <f t="shared" si="1"/>
        <v>252.6</v>
      </c>
    </row>
    <row r="92" spans="1:6" ht="28" x14ac:dyDescent="0.35">
      <c r="A92" s="30">
        <v>90</v>
      </c>
      <c r="B92" s="31" t="s">
        <v>493</v>
      </c>
      <c r="C92" s="30" t="s">
        <v>405</v>
      </c>
      <c r="D92" s="30">
        <v>10</v>
      </c>
      <c r="E92" s="168">
        <v>17.93</v>
      </c>
      <c r="F92" s="32">
        <f t="shared" si="1"/>
        <v>179.3</v>
      </c>
    </row>
    <row r="93" spans="1:6" ht="28" x14ac:dyDescent="0.35">
      <c r="A93" s="30">
        <v>91</v>
      </c>
      <c r="B93" s="31" t="s">
        <v>494</v>
      </c>
      <c r="C93" s="30" t="s">
        <v>405</v>
      </c>
      <c r="D93" s="30">
        <v>10</v>
      </c>
      <c r="E93" s="168">
        <v>12.37</v>
      </c>
      <c r="F93" s="32">
        <f t="shared" si="1"/>
        <v>123.69999999999999</v>
      </c>
    </row>
    <row r="94" spans="1:6" x14ac:dyDescent="0.35">
      <c r="A94" s="30">
        <v>92</v>
      </c>
      <c r="B94" s="31" t="s">
        <v>495</v>
      </c>
      <c r="C94" s="30" t="s">
        <v>405</v>
      </c>
      <c r="D94" s="30">
        <v>30</v>
      </c>
      <c r="E94" s="168">
        <v>6.57</v>
      </c>
      <c r="F94" s="32">
        <f t="shared" si="1"/>
        <v>197.10000000000002</v>
      </c>
    </row>
    <row r="95" spans="1:6" x14ac:dyDescent="0.35">
      <c r="A95" s="30">
        <v>93</v>
      </c>
      <c r="B95" s="31" t="s">
        <v>496</v>
      </c>
      <c r="C95" s="30" t="s">
        <v>405</v>
      </c>
      <c r="D95" s="30">
        <v>100</v>
      </c>
      <c r="E95" s="168">
        <v>2.04</v>
      </c>
      <c r="F95" s="32">
        <f t="shared" si="1"/>
        <v>204</v>
      </c>
    </row>
    <row r="96" spans="1:6" x14ac:dyDescent="0.35">
      <c r="A96" s="30">
        <v>94</v>
      </c>
      <c r="B96" s="31" t="s">
        <v>497</v>
      </c>
      <c r="C96" s="30" t="s">
        <v>405</v>
      </c>
      <c r="D96" s="30">
        <v>100</v>
      </c>
      <c r="E96" s="168">
        <v>2.21</v>
      </c>
      <c r="F96" s="32">
        <f t="shared" si="1"/>
        <v>221</v>
      </c>
    </row>
    <row r="97" spans="1:6" x14ac:dyDescent="0.35">
      <c r="A97" s="30">
        <v>95</v>
      </c>
      <c r="B97" s="31" t="s">
        <v>498</v>
      </c>
      <c r="C97" s="30" t="s">
        <v>405</v>
      </c>
      <c r="D97" s="30">
        <v>50</v>
      </c>
      <c r="E97" s="168">
        <v>3.78</v>
      </c>
      <c r="F97" s="32">
        <f t="shared" si="1"/>
        <v>189</v>
      </c>
    </row>
    <row r="98" spans="1:6" x14ac:dyDescent="0.35">
      <c r="A98" s="30">
        <v>96</v>
      </c>
      <c r="B98" s="31" t="s">
        <v>499</v>
      </c>
      <c r="C98" s="30" t="s">
        <v>380</v>
      </c>
      <c r="D98" s="30">
        <v>20</v>
      </c>
      <c r="E98" s="168">
        <v>10.130000000000001</v>
      </c>
      <c r="F98" s="32">
        <f t="shared" si="1"/>
        <v>202.60000000000002</v>
      </c>
    </row>
    <row r="99" spans="1:6" x14ac:dyDescent="0.35">
      <c r="A99" s="30">
        <v>97</v>
      </c>
      <c r="B99" s="31" t="s">
        <v>500</v>
      </c>
      <c r="C99" s="30" t="s">
        <v>380</v>
      </c>
      <c r="D99" s="30">
        <v>50</v>
      </c>
      <c r="E99" s="168">
        <v>11.45</v>
      </c>
      <c r="F99" s="32">
        <f t="shared" si="1"/>
        <v>572.5</v>
      </c>
    </row>
    <row r="100" spans="1:6" x14ac:dyDescent="0.35">
      <c r="A100" s="30">
        <v>98</v>
      </c>
      <c r="B100" s="31" t="s">
        <v>501</v>
      </c>
      <c r="C100" s="30" t="s">
        <v>405</v>
      </c>
      <c r="D100" s="30">
        <v>50</v>
      </c>
      <c r="E100" s="168">
        <v>1.56</v>
      </c>
      <c r="F100" s="32">
        <f t="shared" si="1"/>
        <v>78</v>
      </c>
    </row>
    <row r="101" spans="1:6" x14ac:dyDescent="0.35">
      <c r="A101" s="30">
        <v>99</v>
      </c>
      <c r="B101" s="31" t="s">
        <v>502</v>
      </c>
      <c r="C101" s="30" t="s">
        <v>380</v>
      </c>
      <c r="D101" s="30">
        <v>10</v>
      </c>
      <c r="E101" s="168">
        <v>11.1</v>
      </c>
      <c r="F101" s="32">
        <f t="shared" si="1"/>
        <v>111</v>
      </c>
    </row>
    <row r="102" spans="1:6" ht="28" x14ac:dyDescent="0.35">
      <c r="A102" s="30">
        <v>100</v>
      </c>
      <c r="B102" s="31" t="s">
        <v>503</v>
      </c>
      <c r="C102" s="30" t="s">
        <v>380</v>
      </c>
      <c r="D102" s="30">
        <v>10</v>
      </c>
      <c r="E102" s="168">
        <v>8.75</v>
      </c>
      <c r="F102" s="32">
        <f t="shared" si="1"/>
        <v>87.5</v>
      </c>
    </row>
    <row r="103" spans="1:6" x14ac:dyDescent="0.35">
      <c r="A103" s="30">
        <v>101</v>
      </c>
      <c r="B103" s="31" t="s">
        <v>504</v>
      </c>
      <c r="C103" s="30" t="s">
        <v>380</v>
      </c>
      <c r="D103" s="30">
        <v>10</v>
      </c>
      <c r="E103" s="168">
        <v>8.52</v>
      </c>
      <c r="F103" s="32">
        <f t="shared" si="1"/>
        <v>85.199999999999989</v>
      </c>
    </row>
    <row r="104" spans="1:6" ht="28" x14ac:dyDescent="0.35">
      <c r="A104" s="30">
        <v>102</v>
      </c>
      <c r="B104" s="31" t="s">
        <v>505</v>
      </c>
      <c r="C104" s="30" t="s">
        <v>380</v>
      </c>
      <c r="D104" s="30">
        <v>10</v>
      </c>
      <c r="E104" s="168">
        <v>11.96</v>
      </c>
      <c r="F104" s="32">
        <f t="shared" si="1"/>
        <v>119.60000000000001</v>
      </c>
    </row>
    <row r="105" spans="1:6" ht="28" x14ac:dyDescent="0.35">
      <c r="A105" s="30">
        <v>103</v>
      </c>
      <c r="B105" s="31" t="s">
        <v>506</v>
      </c>
      <c r="C105" s="30" t="s">
        <v>380</v>
      </c>
      <c r="D105" s="30">
        <v>10</v>
      </c>
      <c r="E105" s="168">
        <v>21.48</v>
      </c>
      <c r="F105" s="32">
        <f t="shared" si="1"/>
        <v>214.8</v>
      </c>
    </row>
    <row r="106" spans="1:6" ht="28" x14ac:dyDescent="0.35">
      <c r="A106" s="30">
        <v>104</v>
      </c>
      <c r="B106" s="31" t="s">
        <v>507</v>
      </c>
      <c r="C106" s="30" t="s">
        <v>380</v>
      </c>
      <c r="D106" s="30">
        <v>5</v>
      </c>
      <c r="E106" s="168">
        <v>69.44</v>
      </c>
      <c r="F106" s="32">
        <f t="shared" si="1"/>
        <v>347.2</v>
      </c>
    </row>
    <row r="107" spans="1:6" x14ac:dyDescent="0.35">
      <c r="A107" s="30">
        <v>105</v>
      </c>
      <c r="B107" s="31" t="s">
        <v>508</v>
      </c>
      <c r="C107" s="30" t="s">
        <v>380</v>
      </c>
      <c r="D107" s="30">
        <v>150</v>
      </c>
      <c r="E107" s="168">
        <v>10.199999999999999</v>
      </c>
      <c r="F107" s="32">
        <f t="shared" si="1"/>
        <v>1530</v>
      </c>
    </row>
    <row r="108" spans="1:6" x14ac:dyDescent="0.35">
      <c r="A108" s="30">
        <v>106</v>
      </c>
      <c r="B108" s="31" t="s">
        <v>509</v>
      </c>
      <c r="C108" s="30" t="s">
        <v>380</v>
      </c>
      <c r="D108" s="30">
        <v>200</v>
      </c>
      <c r="E108" s="168">
        <v>7.11</v>
      </c>
      <c r="F108" s="32">
        <f t="shared" si="1"/>
        <v>1422</v>
      </c>
    </row>
    <row r="109" spans="1:6" x14ac:dyDescent="0.35">
      <c r="A109" s="30">
        <v>107</v>
      </c>
      <c r="B109" s="31" t="s">
        <v>510</v>
      </c>
      <c r="C109" s="30" t="s">
        <v>380</v>
      </c>
      <c r="D109" s="30">
        <v>10</v>
      </c>
      <c r="E109" s="168">
        <v>5.32</v>
      </c>
      <c r="F109" s="32">
        <f t="shared" si="1"/>
        <v>53.2</v>
      </c>
    </row>
    <row r="110" spans="1:6" x14ac:dyDescent="0.35">
      <c r="A110" s="30">
        <v>108</v>
      </c>
      <c r="B110" s="31" t="s">
        <v>511</v>
      </c>
      <c r="C110" s="30" t="s">
        <v>380</v>
      </c>
      <c r="D110" s="30">
        <v>200</v>
      </c>
      <c r="E110" s="168">
        <v>10.199999999999999</v>
      </c>
      <c r="F110" s="32">
        <f t="shared" si="1"/>
        <v>2039.9999999999998</v>
      </c>
    </row>
    <row r="111" spans="1:6" x14ac:dyDescent="0.35">
      <c r="A111" s="30">
        <v>109</v>
      </c>
      <c r="B111" s="31" t="s">
        <v>512</v>
      </c>
      <c r="C111" s="30" t="s">
        <v>380</v>
      </c>
      <c r="D111" s="30">
        <v>20</v>
      </c>
      <c r="E111" s="168">
        <v>13.36</v>
      </c>
      <c r="F111" s="32">
        <f t="shared" si="1"/>
        <v>267.2</v>
      </c>
    </row>
    <row r="112" spans="1:6" ht="28" x14ac:dyDescent="0.35">
      <c r="A112" s="30">
        <v>110</v>
      </c>
      <c r="B112" s="31" t="s">
        <v>513</v>
      </c>
      <c r="C112" s="30" t="s">
        <v>380</v>
      </c>
      <c r="D112" s="30">
        <v>1</v>
      </c>
      <c r="E112" s="168">
        <v>308.60000000000002</v>
      </c>
      <c r="F112" s="32">
        <f t="shared" si="1"/>
        <v>308.60000000000002</v>
      </c>
    </row>
    <row r="113" spans="1:6" ht="28" x14ac:dyDescent="0.35">
      <c r="A113" s="30">
        <v>111</v>
      </c>
      <c r="B113" s="31" t="s">
        <v>514</v>
      </c>
      <c r="C113" s="30" t="s">
        <v>380</v>
      </c>
      <c r="D113" s="30">
        <v>10</v>
      </c>
      <c r="E113" s="168">
        <v>1.87</v>
      </c>
      <c r="F113" s="32">
        <f t="shared" si="1"/>
        <v>18.700000000000003</v>
      </c>
    </row>
    <row r="114" spans="1:6" ht="28" x14ac:dyDescent="0.35">
      <c r="A114" s="30">
        <v>112</v>
      </c>
      <c r="B114" s="31" t="s">
        <v>515</v>
      </c>
      <c r="C114" s="30" t="s">
        <v>380</v>
      </c>
      <c r="D114" s="30">
        <v>10</v>
      </c>
      <c r="E114" s="168">
        <v>3.07</v>
      </c>
      <c r="F114" s="32">
        <f t="shared" si="1"/>
        <v>30.7</v>
      </c>
    </row>
    <row r="115" spans="1:6" x14ac:dyDescent="0.35">
      <c r="A115" s="30">
        <v>113</v>
      </c>
      <c r="B115" s="31" t="s">
        <v>516</v>
      </c>
      <c r="C115" s="30" t="s">
        <v>380</v>
      </c>
      <c r="D115" s="30">
        <v>10</v>
      </c>
      <c r="E115" s="168">
        <v>2.85</v>
      </c>
      <c r="F115" s="32">
        <f t="shared" si="1"/>
        <v>28.5</v>
      </c>
    </row>
    <row r="116" spans="1:6" x14ac:dyDescent="0.35">
      <c r="A116" s="30">
        <v>114</v>
      </c>
      <c r="B116" s="31" t="s">
        <v>517</v>
      </c>
      <c r="C116" s="30" t="s">
        <v>380</v>
      </c>
      <c r="D116" s="30">
        <v>10</v>
      </c>
      <c r="E116" s="168">
        <v>2.95</v>
      </c>
      <c r="F116" s="32">
        <f t="shared" si="1"/>
        <v>29.5</v>
      </c>
    </row>
    <row r="117" spans="1:6" x14ac:dyDescent="0.35">
      <c r="A117" s="30">
        <v>115</v>
      </c>
      <c r="B117" s="31" t="s">
        <v>518</v>
      </c>
      <c r="C117" s="30" t="s">
        <v>380</v>
      </c>
      <c r="D117" s="30">
        <v>10</v>
      </c>
      <c r="E117" s="168">
        <v>3.61</v>
      </c>
      <c r="F117" s="32">
        <f t="shared" si="1"/>
        <v>36.1</v>
      </c>
    </row>
    <row r="118" spans="1:6" x14ac:dyDescent="0.35">
      <c r="A118" s="30">
        <v>116</v>
      </c>
      <c r="B118" s="31" t="s">
        <v>519</v>
      </c>
      <c r="C118" s="30" t="s">
        <v>380</v>
      </c>
      <c r="D118" s="30">
        <v>10</v>
      </c>
      <c r="E118" s="168">
        <v>8.64</v>
      </c>
      <c r="F118" s="32">
        <f t="shared" si="1"/>
        <v>86.4</v>
      </c>
    </row>
    <row r="119" spans="1:6" x14ac:dyDescent="0.35">
      <c r="A119" s="30">
        <v>117</v>
      </c>
      <c r="B119" s="31" t="s">
        <v>520</v>
      </c>
      <c r="C119" s="30" t="s">
        <v>380</v>
      </c>
      <c r="D119" s="30">
        <v>10</v>
      </c>
      <c r="E119" s="168">
        <v>7.34</v>
      </c>
      <c r="F119" s="32">
        <f t="shared" si="1"/>
        <v>73.400000000000006</v>
      </c>
    </row>
    <row r="120" spans="1:6" x14ac:dyDescent="0.35">
      <c r="A120" s="30">
        <v>118</v>
      </c>
      <c r="B120" s="31" t="s">
        <v>521</v>
      </c>
      <c r="C120" s="30" t="s">
        <v>380</v>
      </c>
      <c r="D120" s="30">
        <v>10</v>
      </c>
      <c r="E120" s="168">
        <v>7.34</v>
      </c>
      <c r="F120" s="32">
        <f t="shared" si="1"/>
        <v>73.400000000000006</v>
      </c>
    </row>
    <row r="121" spans="1:6" x14ac:dyDescent="0.35">
      <c r="A121" s="30">
        <v>119</v>
      </c>
      <c r="B121" s="31" t="s">
        <v>522</v>
      </c>
      <c r="C121" s="30" t="s">
        <v>380</v>
      </c>
      <c r="D121" s="30">
        <v>10</v>
      </c>
      <c r="E121" s="168">
        <v>9.6999999999999993</v>
      </c>
      <c r="F121" s="32">
        <f t="shared" si="1"/>
        <v>97</v>
      </c>
    </row>
    <row r="122" spans="1:6" x14ac:dyDescent="0.35">
      <c r="A122" s="30">
        <v>120</v>
      </c>
      <c r="B122" s="31" t="s">
        <v>523</v>
      </c>
      <c r="C122" s="30" t="s">
        <v>380</v>
      </c>
      <c r="D122" s="30">
        <v>10</v>
      </c>
      <c r="E122" s="168">
        <v>12.41</v>
      </c>
      <c r="F122" s="32">
        <f t="shared" si="1"/>
        <v>124.1</v>
      </c>
    </row>
    <row r="123" spans="1:6" ht="28" x14ac:dyDescent="0.35">
      <c r="A123" s="30">
        <v>121</v>
      </c>
      <c r="B123" s="31" t="s">
        <v>524</v>
      </c>
      <c r="C123" s="30" t="s">
        <v>380</v>
      </c>
      <c r="D123" s="30">
        <v>10</v>
      </c>
      <c r="E123" s="168">
        <v>11.4</v>
      </c>
      <c r="F123" s="32">
        <f t="shared" si="1"/>
        <v>114</v>
      </c>
    </row>
    <row r="124" spans="1:6" ht="28" x14ac:dyDescent="0.35">
      <c r="A124" s="30">
        <v>122</v>
      </c>
      <c r="B124" s="31" t="s">
        <v>525</v>
      </c>
      <c r="C124" s="30" t="s">
        <v>380</v>
      </c>
      <c r="D124" s="30">
        <v>10</v>
      </c>
      <c r="E124" s="168">
        <v>22.14</v>
      </c>
      <c r="F124" s="32">
        <f t="shared" si="1"/>
        <v>221.4</v>
      </c>
    </row>
    <row r="125" spans="1:6" ht="28" x14ac:dyDescent="0.35">
      <c r="A125" s="30">
        <v>123</v>
      </c>
      <c r="B125" s="31" t="s">
        <v>526</v>
      </c>
      <c r="C125" s="30" t="s">
        <v>380</v>
      </c>
      <c r="D125" s="30">
        <v>10</v>
      </c>
      <c r="E125" s="168">
        <v>19.75</v>
      </c>
      <c r="F125" s="32">
        <f t="shared" si="1"/>
        <v>197.5</v>
      </c>
    </row>
    <row r="126" spans="1:6" x14ac:dyDescent="0.35">
      <c r="A126" s="30">
        <v>124</v>
      </c>
      <c r="B126" s="31" t="s">
        <v>527</v>
      </c>
      <c r="C126" s="30" t="s">
        <v>380</v>
      </c>
      <c r="D126" s="30">
        <v>10</v>
      </c>
      <c r="E126" s="168">
        <v>39.94</v>
      </c>
      <c r="F126" s="32">
        <f t="shared" si="1"/>
        <v>399.4</v>
      </c>
    </row>
    <row r="127" spans="1:6" ht="28" x14ac:dyDescent="0.35">
      <c r="A127" s="30">
        <v>125</v>
      </c>
      <c r="B127" s="31" t="s">
        <v>528</v>
      </c>
      <c r="C127" s="30" t="s">
        <v>380</v>
      </c>
      <c r="D127" s="30">
        <v>10</v>
      </c>
      <c r="E127" s="168">
        <v>44.34</v>
      </c>
      <c r="F127" s="32">
        <f t="shared" si="1"/>
        <v>443.40000000000003</v>
      </c>
    </row>
    <row r="128" spans="1:6" x14ac:dyDescent="0.35">
      <c r="A128" s="30">
        <v>126</v>
      </c>
      <c r="B128" s="31" t="s">
        <v>529</v>
      </c>
      <c r="C128" s="30" t="s">
        <v>380</v>
      </c>
      <c r="D128" s="30">
        <v>10</v>
      </c>
      <c r="E128" s="168">
        <v>8.48</v>
      </c>
      <c r="F128" s="32">
        <f t="shared" si="1"/>
        <v>84.800000000000011</v>
      </c>
    </row>
    <row r="129" spans="1:6" x14ac:dyDescent="0.35">
      <c r="A129" s="30">
        <v>127</v>
      </c>
      <c r="B129" s="31" t="s">
        <v>530</v>
      </c>
      <c r="C129" s="30" t="s">
        <v>380</v>
      </c>
      <c r="D129" s="30">
        <v>10</v>
      </c>
      <c r="E129" s="168">
        <v>12.58</v>
      </c>
      <c r="F129" s="32">
        <f t="shared" si="1"/>
        <v>125.8</v>
      </c>
    </row>
    <row r="130" spans="1:6" x14ac:dyDescent="0.35">
      <c r="A130" s="30">
        <v>128</v>
      </c>
      <c r="B130" s="31" t="s">
        <v>531</v>
      </c>
      <c r="C130" s="30" t="s">
        <v>380</v>
      </c>
      <c r="D130" s="30">
        <v>5</v>
      </c>
      <c r="E130" s="168">
        <v>15.38</v>
      </c>
      <c r="F130" s="32">
        <f t="shared" si="1"/>
        <v>76.900000000000006</v>
      </c>
    </row>
    <row r="131" spans="1:6" x14ac:dyDescent="0.35">
      <c r="A131" s="30">
        <v>129</v>
      </c>
      <c r="B131" s="31" t="s">
        <v>532</v>
      </c>
      <c r="C131" s="30" t="s">
        <v>380</v>
      </c>
      <c r="D131" s="30">
        <v>10</v>
      </c>
      <c r="E131" s="168">
        <v>48.64</v>
      </c>
      <c r="F131" s="32">
        <f t="shared" si="1"/>
        <v>486.4</v>
      </c>
    </row>
    <row r="132" spans="1:6" x14ac:dyDescent="0.35">
      <c r="A132" s="30">
        <v>130</v>
      </c>
      <c r="B132" s="31" t="s">
        <v>533</v>
      </c>
      <c r="C132" s="30" t="s">
        <v>380</v>
      </c>
      <c r="D132" s="30">
        <v>10</v>
      </c>
      <c r="E132" s="168">
        <v>47.89</v>
      </c>
      <c r="F132" s="32">
        <f t="shared" ref="F132:F195" si="2">D132*E132</f>
        <v>478.9</v>
      </c>
    </row>
    <row r="133" spans="1:6" x14ac:dyDescent="0.35">
      <c r="A133" s="30">
        <v>131</v>
      </c>
      <c r="B133" s="31" t="s">
        <v>534</v>
      </c>
      <c r="C133" s="30" t="s">
        <v>380</v>
      </c>
      <c r="D133" s="30">
        <v>5</v>
      </c>
      <c r="E133" s="168">
        <v>68.599999999999994</v>
      </c>
      <c r="F133" s="32">
        <f t="shared" si="2"/>
        <v>343</v>
      </c>
    </row>
    <row r="134" spans="1:6" x14ac:dyDescent="0.35">
      <c r="A134" s="30">
        <v>132</v>
      </c>
      <c r="B134" s="31" t="s">
        <v>535</v>
      </c>
      <c r="C134" s="30" t="s">
        <v>380</v>
      </c>
      <c r="D134" s="30">
        <v>5</v>
      </c>
      <c r="E134" s="168">
        <v>59.59</v>
      </c>
      <c r="F134" s="32">
        <f t="shared" si="2"/>
        <v>297.95000000000005</v>
      </c>
    </row>
    <row r="135" spans="1:6" x14ac:dyDescent="0.35">
      <c r="A135" s="30">
        <v>133</v>
      </c>
      <c r="B135" s="31" t="s">
        <v>536</v>
      </c>
      <c r="C135" s="30" t="s">
        <v>380</v>
      </c>
      <c r="D135" s="30">
        <v>5</v>
      </c>
      <c r="E135" s="168">
        <v>71.17</v>
      </c>
      <c r="F135" s="32">
        <f t="shared" si="2"/>
        <v>355.85</v>
      </c>
    </row>
    <row r="136" spans="1:6" ht="28" x14ac:dyDescent="0.35">
      <c r="A136" s="30">
        <v>134</v>
      </c>
      <c r="B136" s="31" t="s">
        <v>537</v>
      </c>
      <c r="C136" s="30" t="s">
        <v>380</v>
      </c>
      <c r="D136" s="30">
        <v>1</v>
      </c>
      <c r="E136" s="168">
        <v>155.75</v>
      </c>
      <c r="F136" s="32">
        <f t="shared" si="2"/>
        <v>155.75</v>
      </c>
    </row>
    <row r="137" spans="1:6" ht="28" x14ac:dyDescent="0.35">
      <c r="A137" s="30">
        <v>135</v>
      </c>
      <c r="B137" s="31" t="s">
        <v>538</v>
      </c>
      <c r="C137" s="30" t="s">
        <v>380</v>
      </c>
      <c r="D137" s="30">
        <v>1</v>
      </c>
      <c r="E137" s="168">
        <v>625.38</v>
      </c>
      <c r="F137" s="32">
        <f t="shared" si="2"/>
        <v>625.38</v>
      </c>
    </row>
    <row r="138" spans="1:6" x14ac:dyDescent="0.35">
      <c r="A138" s="30">
        <v>136</v>
      </c>
      <c r="B138" s="31" t="s">
        <v>539</v>
      </c>
      <c r="C138" s="30" t="s">
        <v>380</v>
      </c>
      <c r="D138" s="30">
        <v>20</v>
      </c>
      <c r="E138" s="168">
        <v>2.38</v>
      </c>
      <c r="F138" s="32">
        <f t="shared" si="2"/>
        <v>47.599999999999994</v>
      </c>
    </row>
    <row r="139" spans="1:6" x14ac:dyDescent="0.35">
      <c r="A139" s="30">
        <v>137</v>
      </c>
      <c r="B139" s="31" t="s">
        <v>540</v>
      </c>
      <c r="C139" s="30" t="s">
        <v>380</v>
      </c>
      <c r="D139" s="30">
        <v>20</v>
      </c>
      <c r="E139" s="168">
        <v>4.74</v>
      </c>
      <c r="F139" s="32">
        <f t="shared" si="2"/>
        <v>94.800000000000011</v>
      </c>
    </row>
    <row r="140" spans="1:6" x14ac:dyDescent="0.35">
      <c r="A140" s="30">
        <v>138</v>
      </c>
      <c r="B140" s="31" t="s">
        <v>541</v>
      </c>
      <c r="C140" s="30" t="s">
        <v>380</v>
      </c>
      <c r="D140" s="30">
        <v>1</v>
      </c>
      <c r="E140" s="168">
        <v>74.55</v>
      </c>
      <c r="F140" s="32">
        <f t="shared" si="2"/>
        <v>74.55</v>
      </c>
    </row>
    <row r="141" spans="1:6" x14ac:dyDescent="0.35">
      <c r="A141" s="30">
        <v>139</v>
      </c>
      <c r="B141" s="31" t="s">
        <v>542</v>
      </c>
      <c r="C141" s="30" t="s">
        <v>380</v>
      </c>
      <c r="D141" s="30">
        <v>10</v>
      </c>
      <c r="E141" s="168">
        <v>1.75</v>
      </c>
      <c r="F141" s="32">
        <f t="shared" si="2"/>
        <v>17.5</v>
      </c>
    </row>
    <row r="142" spans="1:6" x14ac:dyDescent="0.35">
      <c r="A142" s="30">
        <v>140</v>
      </c>
      <c r="B142" s="31" t="s">
        <v>543</v>
      </c>
      <c r="C142" s="30" t="s">
        <v>544</v>
      </c>
      <c r="D142" s="30">
        <v>3</v>
      </c>
      <c r="E142" s="168">
        <v>87.5</v>
      </c>
      <c r="F142" s="32">
        <f t="shared" si="2"/>
        <v>262.5</v>
      </c>
    </row>
    <row r="143" spans="1:6" x14ac:dyDescent="0.35">
      <c r="A143" s="30">
        <v>141</v>
      </c>
      <c r="B143" s="31" t="s">
        <v>545</v>
      </c>
      <c r="C143" s="30" t="s">
        <v>544</v>
      </c>
      <c r="D143" s="30">
        <v>3</v>
      </c>
      <c r="E143" s="168">
        <v>87.5</v>
      </c>
      <c r="F143" s="32">
        <f t="shared" si="2"/>
        <v>262.5</v>
      </c>
    </row>
    <row r="144" spans="1:6" x14ac:dyDescent="0.35">
      <c r="A144" s="30">
        <v>142</v>
      </c>
      <c r="B144" s="31" t="s">
        <v>546</v>
      </c>
      <c r="C144" s="30" t="s">
        <v>544</v>
      </c>
      <c r="D144" s="30">
        <v>3</v>
      </c>
      <c r="E144" s="168">
        <v>139.26</v>
      </c>
      <c r="F144" s="32">
        <f t="shared" si="2"/>
        <v>417.78</v>
      </c>
    </row>
    <row r="145" spans="1:6" x14ac:dyDescent="0.35">
      <c r="A145" s="30">
        <v>143</v>
      </c>
      <c r="B145" s="31" t="s">
        <v>547</v>
      </c>
      <c r="C145" s="30" t="s">
        <v>548</v>
      </c>
      <c r="D145" s="30">
        <v>200</v>
      </c>
      <c r="E145" s="168">
        <v>1.22</v>
      </c>
      <c r="F145" s="32">
        <f t="shared" si="2"/>
        <v>244</v>
      </c>
    </row>
    <row r="146" spans="1:6" x14ac:dyDescent="0.35">
      <c r="A146" s="30">
        <v>144</v>
      </c>
      <c r="B146" s="31" t="s">
        <v>549</v>
      </c>
      <c r="C146" s="30" t="s">
        <v>380</v>
      </c>
      <c r="D146" s="30">
        <v>200</v>
      </c>
      <c r="E146" s="168">
        <v>0.57999999999999996</v>
      </c>
      <c r="F146" s="32">
        <f t="shared" si="2"/>
        <v>115.99999999999999</v>
      </c>
    </row>
    <row r="147" spans="1:6" x14ac:dyDescent="0.35">
      <c r="A147" s="30">
        <v>145</v>
      </c>
      <c r="B147" s="31" t="s">
        <v>550</v>
      </c>
      <c r="C147" s="30" t="s">
        <v>548</v>
      </c>
      <c r="D147" s="30">
        <v>200</v>
      </c>
      <c r="E147" s="168">
        <v>2.64</v>
      </c>
      <c r="F147" s="32">
        <f t="shared" si="2"/>
        <v>528</v>
      </c>
    </row>
    <row r="148" spans="1:6" x14ac:dyDescent="0.35">
      <c r="A148" s="30">
        <v>146</v>
      </c>
      <c r="B148" s="31" t="s">
        <v>551</v>
      </c>
      <c r="C148" s="30" t="s">
        <v>548</v>
      </c>
      <c r="D148" s="30">
        <v>100</v>
      </c>
      <c r="E148" s="168">
        <v>2.15</v>
      </c>
      <c r="F148" s="32">
        <f t="shared" si="2"/>
        <v>215</v>
      </c>
    </row>
    <row r="149" spans="1:6" x14ac:dyDescent="0.35">
      <c r="A149" s="30">
        <v>147</v>
      </c>
      <c r="B149" s="31" t="s">
        <v>552</v>
      </c>
      <c r="C149" s="30" t="s">
        <v>548</v>
      </c>
      <c r="D149" s="30">
        <v>20</v>
      </c>
      <c r="E149" s="168">
        <v>0.75</v>
      </c>
      <c r="F149" s="32">
        <f t="shared" si="2"/>
        <v>15</v>
      </c>
    </row>
    <row r="150" spans="1:6" x14ac:dyDescent="0.35">
      <c r="A150" s="30">
        <v>148</v>
      </c>
      <c r="B150" s="31" t="s">
        <v>553</v>
      </c>
      <c r="C150" s="30" t="s">
        <v>548</v>
      </c>
      <c r="D150" s="30">
        <v>200</v>
      </c>
      <c r="E150" s="168">
        <v>1.39</v>
      </c>
      <c r="F150" s="32">
        <f t="shared" si="2"/>
        <v>278</v>
      </c>
    </row>
    <row r="151" spans="1:6" x14ac:dyDescent="0.35">
      <c r="A151" s="30">
        <v>149</v>
      </c>
      <c r="B151" s="31" t="s">
        <v>554</v>
      </c>
      <c r="C151" s="30" t="s">
        <v>548</v>
      </c>
      <c r="D151" s="30">
        <v>200</v>
      </c>
      <c r="E151" s="168">
        <v>0.81</v>
      </c>
      <c r="F151" s="32">
        <f t="shared" si="2"/>
        <v>162</v>
      </c>
    </row>
    <row r="152" spans="1:6" x14ac:dyDescent="0.35">
      <c r="A152" s="30">
        <v>150</v>
      </c>
      <c r="B152" s="31" t="s">
        <v>555</v>
      </c>
      <c r="C152" s="30" t="s">
        <v>548</v>
      </c>
      <c r="D152" s="30">
        <v>100</v>
      </c>
      <c r="E152" s="168">
        <v>0.77</v>
      </c>
      <c r="F152" s="32">
        <f t="shared" si="2"/>
        <v>77</v>
      </c>
    </row>
    <row r="153" spans="1:6" x14ac:dyDescent="0.35">
      <c r="A153" s="30">
        <v>151</v>
      </c>
      <c r="B153" s="31" t="s">
        <v>556</v>
      </c>
      <c r="C153" s="30" t="s">
        <v>380</v>
      </c>
      <c r="D153" s="30">
        <v>2</v>
      </c>
      <c r="E153" s="168">
        <v>245</v>
      </c>
      <c r="F153" s="32">
        <f t="shared" si="2"/>
        <v>490</v>
      </c>
    </row>
    <row r="154" spans="1:6" x14ac:dyDescent="0.35">
      <c r="A154" s="30">
        <v>152</v>
      </c>
      <c r="B154" s="31" t="s">
        <v>557</v>
      </c>
      <c r="C154" s="30" t="s">
        <v>380</v>
      </c>
      <c r="D154" s="30">
        <v>2</v>
      </c>
      <c r="E154" s="168">
        <v>457.95</v>
      </c>
      <c r="F154" s="32">
        <f t="shared" si="2"/>
        <v>915.9</v>
      </c>
    </row>
    <row r="155" spans="1:6" x14ac:dyDescent="0.35">
      <c r="A155" s="30">
        <v>153</v>
      </c>
      <c r="B155" s="31" t="s">
        <v>558</v>
      </c>
      <c r="C155" s="30" t="s">
        <v>548</v>
      </c>
      <c r="D155" s="30">
        <v>500</v>
      </c>
      <c r="E155" s="168">
        <v>0.56999999999999995</v>
      </c>
      <c r="F155" s="32">
        <f t="shared" si="2"/>
        <v>285</v>
      </c>
    </row>
    <row r="156" spans="1:6" x14ac:dyDescent="0.35">
      <c r="A156" s="30">
        <v>154</v>
      </c>
      <c r="B156" s="31" t="s">
        <v>559</v>
      </c>
      <c r="C156" s="30" t="s">
        <v>380</v>
      </c>
      <c r="D156" s="30">
        <v>10</v>
      </c>
      <c r="E156" s="168">
        <v>6.41</v>
      </c>
      <c r="F156" s="32">
        <f t="shared" si="2"/>
        <v>64.099999999999994</v>
      </c>
    </row>
    <row r="157" spans="1:6" x14ac:dyDescent="0.35">
      <c r="A157" s="30">
        <v>155</v>
      </c>
      <c r="B157" s="31" t="s">
        <v>560</v>
      </c>
      <c r="C157" s="30" t="s">
        <v>380</v>
      </c>
      <c r="D157" s="30">
        <v>3</v>
      </c>
      <c r="E157" s="168">
        <v>248.01</v>
      </c>
      <c r="F157" s="32">
        <f t="shared" si="2"/>
        <v>744.03</v>
      </c>
    </row>
    <row r="158" spans="1:6" x14ac:dyDescent="0.35">
      <c r="A158" s="30">
        <v>156</v>
      </c>
      <c r="B158" s="31" t="s">
        <v>561</v>
      </c>
      <c r="C158" s="30" t="s">
        <v>380</v>
      </c>
      <c r="D158" s="30">
        <v>5</v>
      </c>
      <c r="E158" s="168">
        <v>68.25</v>
      </c>
      <c r="F158" s="32">
        <f t="shared" si="2"/>
        <v>341.25</v>
      </c>
    </row>
    <row r="159" spans="1:6" x14ac:dyDescent="0.35">
      <c r="A159" s="30">
        <v>157</v>
      </c>
      <c r="B159" s="31" t="s">
        <v>562</v>
      </c>
      <c r="C159" s="30" t="s">
        <v>380</v>
      </c>
      <c r="D159" s="30">
        <v>5</v>
      </c>
      <c r="E159" s="168">
        <v>4.5999999999999996</v>
      </c>
      <c r="F159" s="32">
        <f t="shared" si="2"/>
        <v>23</v>
      </c>
    </row>
    <row r="160" spans="1:6" x14ac:dyDescent="0.35">
      <c r="A160" s="30">
        <v>158</v>
      </c>
      <c r="B160" s="31" t="s">
        <v>563</v>
      </c>
      <c r="C160" s="30" t="s">
        <v>380</v>
      </c>
      <c r="D160" s="30">
        <v>50</v>
      </c>
      <c r="E160" s="168">
        <v>17.96</v>
      </c>
      <c r="F160" s="32">
        <f t="shared" si="2"/>
        <v>898</v>
      </c>
    </row>
    <row r="161" spans="1:6" x14ac:dyDescent="0.35">
      <c r="A161" s="30">
        <v>159</v>
      </c>
      <c r="B161" s="31" t="s">
        <v>564</v>
      </c>
      <c r="C161" s="30" t="s">
        <v>439</v>
      </c>
      <c r="D161" s="30">
        <v>50</v>
      </c>
      <c r="E161" s="168">
        <v>93.96</v>
      </c>
      <c r="F161" s="32">
        <f t="shared" si="2"/>
        <v>4698</v>
      </c>
    </row>
    <row r="162" spans="1:6" x14ac:dyDescent="0.35">
      <c r="A162" s="30">
        <v>160</v>
      </c>
      <c r="B162" s="31" t="s">
        <v>565</v>
      </c>
      <c r="C162" s="30" t="s">
        <v>439</v>
      </c>
      <c r="D162" s="30">
        <v>50</v>
      </c>
      <c r="E162" s="168">
        <v>100.78</v>
      </c>
      <c r="F162" s="32">
        <f t="shared" si="2"/>
        <v>5039</v>
      </c>
    </row>
    <row r="163" spans="1:6" x14ac:dyDescent="0.35">
      <c r="A163" s="30">
        <v>161</v>
      </c>
      <c r="B163" s="31" t="s">
        <v>566</v>
      </c>
      <c r="C163" s="30" t="s">
        <v>567</v>
      </c>
      <c r="D163" s="30">
        <v>10</v>
      </c>
      <c r="E163" s="168">
        <v>47.74</v>
      </c>
      <c r="F163" s="32">
        <f t="shared" si="2"/>
        <v>477.40000000000003</v>
      </c>
    </row>
    <row r="164" spans="1:6" x14ac:dyDescent="0.35">
      <c r="A164" s="30">
        <v>162</v>
      </c>
      <c r="B164" s="31" t="s">
        <v>568</v>
      </c>
      <c r="C164" s="30" t="s">
        <v>567</v>
      </c>
      <c r="D164" s="30">
        <v>15</v>
      </c>
      <c r="E164" s="168">
        <v>18.5</v>
      </c>
      <c r="F164" s="32">
        <f t="shared" si="2"/>
        <v>277.5</v>
      </c>
    </row>
    <row r="165" spans="1:6" x14ac:dyDescent="0.35">
      <c r="A165" s="30">
        <v>163</v>
      </c>
      <c r="B165" s="31" t="s">
        <v>569</v>
      </c>
      <c r="C165" s="30" t="s">
        <v>567</v>
      </c>
      <c r="D165" s="30">
        <v>18</v>
      </c>
      <c r="E165" s="168">
        <v>23.18</v>
      </c>
      <c r="F165" s="32">
        <f t="shared" si="2"/>
        <v>417.24</v>
      </c>
    </row>
    <row r="166" spans="1:6" x14ac:dyDescent="0.35">
      <c r="A166" s="30">
        <v>164</v>
      </c>
      <c r="B166" s="31" t="s">
        <v>570</v>
      </c>
      <c r="C166" s="30" t="s">
        <v>548</v>
      </c>
      <c r="D166" s="30">
        <v>40</v>
      </c>
      <c r="E166" s="168">
        <v>0.79</v>
      </c>
      <c r="F166" s="32">
        <f t="shared" si="2"/>
        <v>31.6</v>
      </c>
    </row>
    <row r="167" spans="1:6" x14ac:dyDescent="0.35">
      <c r="A167" s="30">
        <v>165</v>
      </c>
      <c r="B167" s="31" t="s">
        <v>571</v>
      </c>
      <c r="C167" s="30" t="s">
        <v>548</v>
      </c>
      <c r="D167" s="30">
        <v>40</v>
      </c>
      <c r="E167" s="168">
        <v>2.75</v>
      </c>
      <c r="F167" s="32">
        <f t="shared" si="2"/>
        <v>110</v>
      </c>
    </row>
    <row r="168" spans="1:6" x14ac:dyDescent="0.35">
      <c r="A168" s="30">
        <v>166</v>
      </c>
      <c r="B168" s="31" t="s">
        <v>572</v>
      </c>
      <c r="C168" s="30" t="s">
        <v>439</v>
      </c>
      <c r="D168" s="30">
        <v>50</v>
      </c>
      <c r="E168" s="168">
        <v>18.52</v>
      </c>
      <c r="F168" s="32">
        <f t="shared" si="2"/>
        <v>926</v>
      </c>
    </row>
    <row r="169" spans="1:6" x14ac:dyDescent="0.35">
      <c r="A169" s="30">
        <v>167</v>
      </c>
      <c r="B169" s="31" t="s">
        <v>573</v>
      </c>
      <c r="C169" s="30" t="s">
        <v>439</v>
      </c>
      <c r="D169" s="30">
        <v>50</v>
      </c>
      <c r="E169" s="168">
        <v>27.09</v>
      </c>
      <c r="F169" s="32">
        <f t="shared" si="2"/>
        <v>1354.5</v>
      </c>
    </row>
    <row r="170" spans="1:6" x14ac:dyDescent="0.35">
      <c r="A170" s="30">
        <v>168</v>
      </c>
      <c r="B170" s="31" t="s">
        <v>574</v>
      </c>
      <c r="C170" s="30" t="s">
        <v>405</v>
      </c>
      <c r="D170" s="30">
        <v>150</v>
      </c>
      <c r="E170" s="168">
        <v>5.31</v>
      </c>
      <c r="F170" s="32">
        <f t="shared" si="2"/>
        <v>796.49999999999989</v>
      </c>
    </row>
    <row r="171" spans="1:6" x14ac:dyDescent="0.35">
      <c r="A171" s="30">
        <v>169</v>
      </c>
      <c r="B171" s="31" t="s">
        <v>575</v>
      </c>
      <c r="C171" s="30" t="s">
        <v>405</v>
      </c>
      <c r="D171" s="30">
        <v>150</v>
      </c>
      <c r="E171" s="168">
        <v>4.4800000000000004</v>
      </c>
      <c r="F171" s="32">
        <f t="shared" si="2"/>
        <v>672.00000000000011</v>
      </c>
    </row>
    <row r="172" spans="1:6" x14ac:dyDescent="0.35">
      <c r="A172" s="30">
        <v>170</v>
      </c>
      <c r="B172" s="31" t="s">
        <v>576</v>
      </c>
      <c r="C172" s="30" t="s">
        <v>380</v>
      </c>
      <c r="D172" s="30">
        <v>1000</v>
      </c>
      <c r="E172" s="168">
        <v>0.26</v>
      </c>
      <c r="F172" s="32">
        <f t="shared" si="2"/>
        <v>260</v>
      </c>
    </row>
    <row r="173" spans="1:6" x14ac:dyDescent="0.35">
      <c r="A173" s="30">
        <v>171</v>
      </c>
      <c r="B173" s="31" t="s">
        <v>577</v>
      </c>
      <c r="C173" s="30" t="s">
        <v>548</v>
      </c>
      <c r="D173" s="30">
        <v>15</v>
      </c>
      <c r="E173" s="168">
        <v>1.42</v>
      </c>
      <c r="F173" s="32">
        <f t="shared" si="2"/>
        <v>21.299999999999997</v>
      </c>
    </row>
    <row r="174" spans="1:6" x14ac:dyDescent="0.35">
      <c r="A174" s="30">
        <v>172</v>
      </c>
      <c r="B174" s="31" t="s">
        <v>578</v>
      </c>
      <c r="C174" s="30" t="s">
        <v>380</v>
      </c>
      <c r="D174" s="30">
        <v>1</v>
      </c>
      <c r="E174" s="168">
        <v>115.26</v>
      </c>
      <c r="F174" s="32">
        <f t="shared" si="2"/>
        <v>115.26</v>
      </c>
    </row>
    <row r="175" spans="1:6" x14ac:dyDescent="0.35">
      <c r="A175" s="30">
        <v>173</v>
      </c>
      <c r="B175" s="31" t="s">
        <v>579</v>
      </c>
      <c r="C175" s="30" t="s">
        <v>380</v>
      </c>
      <c r="D175" s="30">
        <v>1</v>
      </c>
      <c r="E175" s="168">
        <v>415.1</v>
      </c>
      <c r="F175" s="32">
        <f t="shared" si="2"/>
        <v>415.1</v>
      </c>
    </row>
    <row r="176" spans="1:6" x14ac:dyDescent="0.35">
      <c r="A176" s="30">
        <v>174</v>
      </c>
      <c r="B176" s="31" t="s">
        <v>580</v>
      </c>
      <c r="C176" s="30" t="s">
        <v>380</v>
      </c>
      <c r="D176" s="30">
        <v>1</v>
      </c>
      <c r="E176" s="168">
        <v>614.42999999999995</v>
      </c>
      <c r="F176" s="32">
        <f t="shared" si="2"/>
        <v>614.42999999999995</v>
      </c>
    </row>
    <row r="177" spans="1:6" x14ac:dyDescent="0.35">
      <c r="A177" s="30">
        <v>175</v>
      </c>
      <c r="B177" s="31" t="s">
        <v>581</v>
      </c>
      <c r="C177" s="30" t="s">
        <v>548</v>
      </c>
      <c r="D177" s="30">
        <v>100</v>
      </c>
      <c r="E177" s="168">
        <v>4.8</v>
      </c>
      <c r="F177" s="32">
        <f t="shared" si="2"/>
        <v>480</v>
      </c>
    </row>
    <row r="178" spans="1:6" x14ac:dyDescent="0.35">
      <c r="A178" s="30">
        <v>176</v>
      </c>
      <c r="B178" s="31" t="s">
        <v>582</v>
      </c>
      <c r="C178" s="30" t="s">
        <v>548</v>
      </c>
      <c r="D178" s="30">
        <v>80</v>
      </c>
      <c r="E178" s="168">
        <v>8.6300000000000008</v>
      </c>
      <c r="F178" s="32">
        <f t="shared" si="2"/>
        <v>690.40000000000009</v>
      </c>
    </row>
    <row r="179" spans="1:6" x14ac:dyDescent="0.35">
      <c r="A179" s="30">
        <v>177</v>
      </c>
      <c r="B179" s="31" t="s">
        <v>583</v>
      </c>
      <c r="C179" s="30" t="s">
        <v>548</v>
      </c>
      <c r="D179" s="30">
        <v>30</v>
      </c>
      <c r="E179" s="168">
        <v>2.76</v>
      </c>
      <c r="F179" s="32">
        <f t="shared" si="2"/>
        <v>82.8</v>
      </c>
    </row>
    <row r="180" spans="1:6" ht="28" x14ac:dyDescent="0.35">
      <c r="A180" s="30">
        <v>178</v>
      </c>
      <c r="B180" s="31" t="s">
        <v>584</v>
      </c>
      <c r="C180" s="30" t="s">
        <v>405</v>
      </c>
      <c r="D180" s="30">
        <v>150</v>
      </c>
      <c r="E180" s="168">
        <v>0.31</v>
      </c>
      <c r="F180" s="32">
        <f t="shared" si="2"/>
        <v>46.5</v>
      </c>
    </row>
    <row r="181" spans="1:6" x14ac:dyDescent="0.35">
      <c r="A181" s="30">
        <v>179</v>
      </c>
      <c r="B181" s="31" t="s">
        <v>585</v>
      </c>
      <c r="C181" s="30" t="s">
        <v>380</v>
      </c>
      <c r="D181" s="30">
        <v>1</v>
      </c>
      <c r="E181" s="168">
        <v>426.56</v>
      </c>
      <c r="F181" s="32">
        <f t="shared" si="2"/>
        <v>426.56</v>
      </c>
    </row>
    <row r="182" spans="1:6" x14ac:dyDescent="0.35">
      <c r="A182" s="30">
        <v>180</v>
      </c>
      <c r="B182" s="31" t="s">
        <v>586</v>
      </c>
      <c r="C182" s="30" t="s">
        <v>380</v>
      </c>
      <c r="D182" s="30">
        <v>2</v>
      </c>
      <c r="E182" s="168">
        <v>224.41</v>
      </c>
      <c r="F182" s="32">
        <f t="shared" si="2"/>
        <v>448.82</v>
      </c>
    </row>
    <row r="183" spans="1:6" x14ac:dyDescent="0.35">
      <c r="A183" s="30">
        <v>181</v>
      </c>
      <c r="B183" s="31" t="s">
        <v>587</v>
      </c>
      <c r="C183" s="30" t="s">
        <v>380</v>
      </c>
      <c r="D183" s="30">
        <v>2</v>
      </c>
      <c r="E183" s="168">
        <v>4.51</v>
      </c>
      <c r="F183" s="32">
        <f t="shared" si="2"/>
        <v>9.02</v>
      </c>
    </row>
    <row r="184" spans="1:6" x14ac:dyDescent="0.35">
      <c r="A184" s="30">
        <v>182</v>
      </c>
      <c r="B184" s="31" t="s">
        <v>588</v>
      </c>
      <c r="C184" s="30" t="s">
        <v>380</v>
      </c>
      <c r="D184" s="30">
        <v>1</v>
      </c>
      <c r="E184" s="168">
        <v>30.57</v>
      </c>
      <c r="F184" s="32">
        <f t="shared" si="2"/>
        <v>30.57</v>
      </c>
    </row>
    <row r="185" spans="1:6" x14ac:dyDescent="0.35">
      <c r="A185" s="30">
        <v>183</v>
      </c>
      <c r="B185" s="31" t="s">
        <v>589</v>
      </c>
      <c r="C185" s="30" t="s">
        <v>548</v>
      </c>
      <c r="D185" s="30">
        <v>1</v>
      </c>
      <c r="E185" s="168">
        <v>47.07</v>
      </c>
      <c r="F185" s="32">
        <f t="shared" si="2"/>
        <v>47.07</v>
      </c>
    </row>
    <row r="186" spans="1:6" ht="28" x14ac:dyDescent="0.35">
      <c r="A186" s="30">
        <v>184</v>
      </c>
      <c r="B186" s="31" t="s">
        <v>590</v>
      </c>
      <c r="C186" s="30" t="s">
        <v>439</v>
      </c>
      <c r="D186" s="30">
        <v>30</v>
      </c>
      <c r="E186" s="168">
        <v>59.9</v>
      </c>
      <c r="F186" s="32">
        <f t="shared" si="2"/>
        <v>1797</v>
      </c>
    </row>
    <row r="187" spans="1:6" ht="28" x14ac:dyDescent="0.35">
      <c r="A187" s="30">
        <v>185</v>
      </c>
      <c r="B187" s="31" t="s">
        <v>591</v>
      </c>
      <c r="C187" s="30" t="s">
        <v>439</v>
      </c>
      <c r="D187" s="30">
        <v>30</v>
      </c>
      <c r="E187" s="168">
        <v>101.62</v>
      </c>
      <c r="F187" s="32">
        <f t="shared" si="2"/>
        <v>3048.6000000000004</v>
      </c>
    </row>
    <row r="188" spans="1:6" x14ac:dyDescent="0.35">
      <c r="A188" s="30">
        <v>186</v>
      </c>
      <c r="B188" s="31" t="s">
        <v>592</v>
      </c>
      <c r="C188" s="30" t="s">
        <v>439</v>
      </c>
      <c r="D188" s="30">
        <v>50</v>
      </c>
      <c r="E188" s="168">
        <v>11.11</v>
      </c>
      <c r="F188" s="32">
        <f t="shared" si="2"/>
        <v>555.5</v>
      </c>
    </row>
    <row r="189" spans="1:6" x14ac:dyDescent="0.35">
      <c r="A189" s="30">
        <v>187</v>
      </c>
      <c r="B189" s="31" t="s">
        <v>593</v>
      </c>
      <c r="C189" s="30" t="s">
        <v>380</v>
      </c>
      <c r="D189" s="30">
        <v>1</v>
      </c>
      <c r="E189" s="168">
        <v>210.87</v>
      </c>
      <c r="F189" s="32">
        <f t="shared" si="2"/>
        <v>210.87</v>
      </c>
    </row>
    <row r="190" spans="1:6" x14ac:dyDescent="0.35">
      <c r="A190" s="30">
        <v>188</v>
      </c>
      <c r="B190" s="31" t="s">
        <v>594</v>
      </c>
      <c r="C190" s="30" t="s">
        <v>380</v>
      </c>
      <c r="D190" s="30">
        <v>1</v>
      </c>
      <c r="E190" s="168">
        <v>241</v>
      </c>
      <c r="F190" s="32">
        <f t="shared" si="2"/>
        <v>241</v>
      </c>
    </row>
    <row r="191" spans="1:6" x14ac:dyDescent="0.35">
      <c r="A191" s="30">
        <v>189</v>
      </c>
      <c r="B191" s="31" t="s">
        <v>595</v>
      </c>
      <c r="C191" s="30" t="s">
        <v>380</v>
      </c>
      <c r="D191" s="30">
        <v>1</v>
      </c>
      <c r="E191" s="168">
        <v>723</v>
      </c>
      <c r="F191" s="32">
        <f t="shared" si="2"/>
        <v>723</v>
      </c>
    </row>
    <row r="192" spans="1:6" x14ac:dyDescent="0.35">
      <c r="A192" s="30">
        <v>190</v>
      </c>
      <c r="B192" s="31" t="s">
        <v>596</v>
      </c>
      <c r="C192" s="30" t="s">
        <v>380</v>
      </c>
      <c r="D192" s="30">
        <v>1</v>
      </c>
      <c r="E192" s="168">
        <v>202.21</v>
      </c>
      <c r="F192" s="32">
        <f t="shared" si="2"/>
        <v>202.21</v>
      </c>
    </row>
    <row r="193" spans="1:6" x14ac:dyDescent="0.35">
      <c r="A193" s="30">
        <v>191</v>
      </c>
      <c r="B193" s="31" t="s">
        <v>597</v>
      </c>
      <c r="C193" s="30" t="s">
        <v>380</v>
      </c>
      <c r="D193" s="30">
        <v>1</v>
      </c>
      <c r="E193" s="168">
        <v>69.34</v>
      </c>
      <c r="F193" s="32">
        <f t="shared" si="2"/>
        <v>69.34</v>
      </c>
    </row>
    <row r="194" spans="1:6" x14ac:dyDescent="0.35">
      <c r="A194" s="30">
        <v>192</v>
      </c>
      <c r="B194" s="31" t="s">
        <v>598</v>
      </c>
      <c r="C194" s="30" t="s">
        <v>380</v>
      </c>
      <c r="D194" s="30">
        <v>1</v>
      </c>
      <c r="E194" s="168">
        <v>24.56</v>
      </c>
      <c r="F194" s="32">
        <f t="shared" si="2"/>
        <v>24.56</v>
      </c>
    </row>
    <row r="195" spans="1:6" x14ac:dyDescent="0.35">
      <c r="A195" s="30">
        <v>193</v>
      </c>
      <c r="B195" s="31" t="s">
        <v>599</v>
      </c>
      <c r="C195" s="30" t="s">
        <v>380</v>
      </c>
      <c r="D195" s="30">
        <v>1</v>
      </c>
      <c r="E195" s="168">
        <v>31.62</v>
      </c>
      <c r="F195" s="32">
        <f t="shared" si="2"/>
        <v>31.62</v>
      </c>
    </row>
    <row r="196" spans="1:6" x14ac:dyDescent="0.35">
      <c r="A196" s="30">
        <v>194</v>
      </c>
      <c r="B196" s="31" t="s">
        <v>600</v>
      </c>
      <c r="C196" s="30" t="s">
        <v>380</v>
      </c>
      <c r="D196" s="30">
        <v>1</v>
      </c>
      <c r="E196" s="168">
        <v>50.2</v>
      </c>
      <c r="F196" s="32">
        <f t="shared" ref="F196:F259" si="3">D196*E196</f>
        <v>50.2</v>
      </c>
    </row>
    <row r="197" spans="1:6" x14ac:dyDescent="0.35">
      <c r="A197" s="30">
        <v>195</v>
      </c>
      <c r="B197" s="31" t="s">
        <v>601</v>
      </c>
      <c r="C197" s="30" t="s">
        <v>380</v>
      </c>
      <c r="D197" s="30">
        <v>1</v>
      </c>
      <c r="E197" s="168">
        <v>64.42</v>
      </c>
      <c r="F197" s="32">
        <f t="shared" si="3"/>
        <v>64.42</v>
      </c>
    </row>
    <row r="198" spans="1:6" x14ac:dyDescent="0.35">
      <c r="A198" s="30">
        <v>196</v>
      </c>
      <c r="B198" s="31" t="s">
        <v>602</v>
      </c>
      <c r="C198" s="30" t="s">
        <v>380</v>
      </c>
      <c r="D198" s="30">
        <v>1</v>
      </c>
      <c r="E198" s="168">
        <v>110.84</v>
      </c>
      <c r="F198" s="32">
        <f t="shared" si="3"/>
        <v>110.84</v>
      </c>
    </row>
    <row r="199" spans="1:6" x14ac:dyDescent="0.35">
      <c r="A199" s="30">
        <v>197</v>
      </c>
      <c r="B199" s="31" t="s">
        <v>603</v>
      </c>
      <c r="C199" s="30" t="s">
        <v>380</v>
      </c>
      <c r="D199" s="30">
        <v>1</v>
      </c>
      <c r="E199" s="168">
        <v>154.38</v>
      </c>
      <c r="F199" s="32">
        <f t="shared" si="3"/>
        <v>154.38</v>
      </c>
    </row>
    <row r="200" spans="1:6" x14ac:dyDescent="0.35">
      <c r="A200" s="30">
        <v>198</v>
      </c>
      <c r="B200" s="31" t="s">
        <v>604</v>
      </c>
      <c r="C200" s="30" t="s">
        <v>380</v>
      </c>
      <c r="D200" s="30">
        <v>1</v>
      </c>
      <c r="E200" s="168">
        <v>320.17</v>
      </c>
      <c r="F200" s="32">
        <f t="shared" si="3"/>
        <v>320.17</v>
      </c>
    </row>
    <row r="201" spans="1:6" x14ac:dyDescent="0.35">
      <c r="A201" s="30">
        <v>199</v>
      </c>
      <c r="B201" s="31" t="s">
        <v>605</v>
      </c>
      <c r="C201" s="30" t="s">
        <v>380</v>
      </c>
      <c r="D201" s="30">
        <v>1</v>
      </c>
      <c r="E201" s="168">
        <v>387.62</v>
      </c>
      <c r="F201" s="32">
        <f t="shared" si="3"/>
        <v>387.62</v>
      </c>
    </row>
    <row r="202" spans="1:6" x14ac:dyDescent="0.35">
      <c r="A202" s="30">
        <v>200</v>
      </c>
      <c r="B202" s="31" t="s">
        <v>606</v>
      </c>
      <c r="C202" s="30" t="s">
        <v>380</v>
      </c>
      <c r="D202" s="30">
        <v>1</v>
      </c>
      <c r="E202" s="168">
        <v>40.81</v>
      </c>
      <c r="F202" s="32">
        <f t="shared" si="3"/>
        <v>40.81</v>
      </c>
    </row>
    <row r="203" spans="1:6" x14ac:dyDescent="0.35">
      <c r="A203" s="30">
        <v>201</v>
      </c>
      <c r="B203" s="31" t="s">
        <v>607</v>
      </c>
      <c r="C203" s="30" t="s">
        <v>380</v>
      </c>
      <c r="D203" s="30">
        <v>1</v>
      </c>
      <c r="E203" s="168">
        <v>90.84</v>
      </c>
      <c r="F203" s="32">
        <f t="shared" si="3"/>
        <v>90.84</v>
      </c>
    </row>
    <row r="204" spans="1:6" x14ac:dyDescent="0.35">
      <c r="A204" s="30">
        <v>202</v>
      </c>
      <c r="B204" s="31" t="s">
        <v>608</v>
      </c>
      <c r="C204" s="30" t="s">
        <v>380</v>
      </c>
      <c r="D204" s="30">
        <v>1</v>
      </c>
      <c r="E204" s="168">
        <v>93.9</v>
      </c>
      <c r="F204" s="32">
        <f t="shared" si="3"/>
        <v>93.9</v>
      </c>
    </row>
    <row r="205" spans="1:6" x14ac:dyDescent="0.35">
      <c r="A205" s="30">
        <v>203</v>
      </c>
      <c r="B205" s="31" t="s">
        <v>609</v>
      </c>
      <c r="C205" s="30" t="s">
        <v>380</v>
      </c>
      <c r="D205" s="30">
        <v>1</v>
      </c>
      <c r="E205" s="168">
        <v>190</v>
      </c>
      <c r="F205" s="32">
        <f t="shared" si="3"/>
        <v>190</v>
      </c>
    </row>
    <row r="206" spans="1:6" x14ac:dyDescent="0.35">
      <c r="A206" s="30">
        <v>204</v>
      </c>
      <c r="B206" s="31" t="s">
        <v>610</v>
      </c>
      <c r="C206" s="30" t="s">
        <v>548</v>
      </c>
      <c r="D206" s="30">
        <v>5</v>
      </c>
      <c r="E206" s="168">
        <v>4.4000000000000004</v>
      </c>
      <c r="F206" s="32">
        <f t="shared" si="3"/>
        <v>22</v>
      </c>
    </row>
    <row r="207" spans="1:6" x14ac:dyDescent="0.35">
      <c r="A207" s="30">
        <v>205</v>
      </c>
      <c r="B207" s="31" t="s">
        <v>611</v>
      </c>
      <c r="C207" s="30" t="s">
        <v>548</v>
      </c>
      <c r="D207" s="30">
        <v>5</v>
      </c>
      <c r="E207" s="168">
        <v>92.75</v>
      </c>
      <c r="F207" s="32">
        <f t="shared" si="3"/>
        <v>463.75</v>
      </c>
    </row>
    <row r="208" spans="1:6" x14ac:dyDescent="0.35">
      <c r="A208" s="30">
        <v>206</v>
      </c>
      <c r="B208" s="31" t="s">
        <v>612</v>
      </c>
      <c r="C208" s="30" t="s">
        <v>380</v>
      </c>
      <c r="D208" s="30">
        <v>20</v>
      </c>
      <c r="E208" s="168">
        <v>35.46</v>
      </c>
      <c r="F208" s="32">
        <f t="shared" si="3"/>
        <v>709.2</v>
      </c>
    </row>
    <row r="209" spans="1:6" x14ac:dyDescent="0.35">
      <c r="A209" s="30">
        <v>207</v>
      </c>
      <c r="B209" s="31" t="s">
        <v>613</v>
      </c>
      <c r="C209" s="30" t="s">
        <v>380</v>
      </c>
      <c r="D209" s="30">
        <v>10</v>
      </c>
      <c r="E209" s="168">
        <v>19.11</v>
      </c>
      <c r="F209" s="32">
        <f t="shared" si="3"/>
        <v>191.1</v>
      </c>
    </row>
    <row r="210" spans="1:6" x14ac:dyDescent="0.35">
      <c r="A210" s="30">
        <v>208</v>
      </c>
      <c r="B210" s="31" t="s">
        <v>614</v>
      </c>
      <c r="C210" s="30" t="s">
        <v>380</v>
      </c>
      <c r="D210" s="30">
        <v>10</v>
      </c>
      <c r="E210" s="168">
        <v>28.92</v>
      </c>
      <c r="F210" s="32">
        <f t="shared" si="3"/>
        <v>289.20000000000005</v>
      </c>
    </row>
    <row r="211" spans="1:6" x14ac:dyDescent="0.35">
      <c r="A211" s="30">
        <v>209</v>
      </c>
      <c r="B211" s="31" t="s">
        <v>615</v>
      </c>
      <c r="C211" s="30" t="s">
        <v>380</v>
      </c>
      <c r="D211" s="30">
        <v>10</v>
      </c>
      <c r="E211" s="168">
        <v>29.7</v>
      </c>
      <c r="F211" s="32">
        <f t="shared" si="3"/>
        <v>297</v>
      </c>
    </row>
    <row r="212" spans="1:6" x14ac:dyDescent="0.35">
      <c r="A212" s="30">
        <v>210</v>
      </c>
      <c r="B212" s="31" t="s">
        <v>616</v>
      </c>
      <c r="C212" s="30" t="s">
        <v>380</v>
      </c>
      <c r="D212" s="30">
        <v>2</v>
      </c>
      <c r="E212" s="168">
        <v>183.56</v>
      </c>
      <c r="F212" s="32">
        <f t="shared" si="3"/>
        <v>367.12</v>
      </c>
    </row>
    <row r="213" spans="1:6" x14ac:dyDescent="0.35">
      <c r="A213" s="30">
        <v>211</v>
      </c>
      <c r="B213" s="31" t="s">
        <v>617</v>
      </c>
      <c r="C213" s="30" t="s">
        <v>567</v>
      </c>
      <c r="D213" s="30">
        <v>74</v>
      </c>
      <c r="E213" s="168">
        <v>34.11</v>
      </c>
      <c r="F213" s="32">
        <f t="shared" si="3"/>
        <v>2524.14</v>
      </c>
    </row>
    <row r="214" spans="1:6" x14ac:dyDescent="0.35">
      <c r="A214" s="30">
        <v>212</v>
      </c>
      <c r="B214" s="31" t="s">
        <v>618</v>
      </c>
      <c r="C214" s="30" t="s">
        <v>567</v>
      </c>
      <c r="D214" s="30">
        <v>32</v>
      </c>
      <c r="E214" s="168">
        <v>27.99</v>
      </c>
      <c r="F214" s="32">
        <f t="shared" si="3"/>
        <v>895.68</v>
      </c>
    </row>
    <row r="215" spans="1:6" x14ac:dyDescent="0.35">
      <c r="A215" s="30">
        <v>213</v>
      </c>
      <c r="B215" s="31" t="s">
        <v>619</v>
      </c>
      <c r="C215" s="30" t="s">
        <v>567</v>
      </c>
      <c r="D215" s="30">
        <v>15</v>
      </c>
      <c r="E215" s="168">
        <v>45.71</v>
      </c>
      <c r="F215" s="32">
        <f t="shared" si="3"/>
        <v>685.65</v>
      </c>
    </row>
    <row r="216" spans="1:6" x14ac:dyDescent="0.35">
      <c r="A216" s="30">
        <v>214</v>
      </c>
      <c r="B216" s="31" t="s">
        <v>620</v>
      </c>
      <c r="C216" s="30" t="s">
        <v>567</v>
      </c>
      <c r="D216" s="30">
        <v>15</v>
      </c>
      <c r="E216" s="168">
        <v>39.85</v>
      </c>
      <c r="F216" s="32">
        <f t="shared" si="3"/>
        <v>597.75</v>
      </c>
    </row>
    <row r="217" spans="1:6" x14ac:dyDescent="0.35">
      <c r="A217" s="30">
        <v>215</v>
      </c>
      <c r="B217" s="31" t="s">
        <v>621</v>
      </c>
      <c r="C217" s="30" t="s">
        <v>567</v>
      </c>
      <c r="D217" s="30">
        <v>10</v>
      </c>
      <c r="E217" s="168">
        <v>20</v>
      </c>
      <c r="F217" s="32">
        <f t="shared" si="3"/>
        <v>200</v>
      </c>
    </row>
    <row r="218" spans="1:6" x14ac:dyDescent="0.35">
      <c r="A218" s="30">
        <v>216</v>
      </c>
      <c r="B218" s="31" t="s">
        <v>622</v>
      </c>
      <c r="C218" s="30" t="s">
        <v>567</v>
      </c>
      <c r="D218" s="30">
        <v>10</v>
      </c>
      <c r="E218" s="168">
        <v>180.57</v>
      </c>
      <c r="F218" s="32">
        <f t="shared" si="3"/>
        <v>1805.6999999999998</v>
      </c>
    </row>
    <row r="219" spans="1:6" x14ac:dyDescent="0.35">
      <c r="A219" s="30">
        <v>217</v>
      </c>
      <c r="B219" s="31" t="s">
        <v>623</v>
      </c>
      <c r="C219" s="30" t="s">
        <v>567</v>
      </c>
      <c r="D219" s="30">
        <v>10</v>
      </c>
      <c r="E219" s="168">
        <v>91.31</v>
      </c>
      <c r="F219" s="32">
        <f t="shared" si="3"/>
        <v>913.1</v>
      </c>
    </row>
    <row r="220" spans="1:6" x14ac:dyDescent="0.35">
      <c r="A220" s="30">
        <v>218</v>
      </c>
      <c r="B220" s="31" t="s">
        <v>624</v>
      </c>
      <c r="C220" s="30" t="s">
        <v>380</v>
      </c>
      <c r="D220" s="30">
        <v>10</v>
      </c>
      <c r="E220" s="168">
        <v>18.899999999999999</v>
      </c>
      <c r="F220" s="32">
        <f t="shared" si="3"/>
        <v>189</v>
      </c>
    </row>
    <row r="221" spans="1:6" x14ac:dyDescent="0.35">
      <c r="A221" s="30">
        <v>219</v>
      </c>
      <c r="B221" s="31" t="s">
        <v>625</v>
      </c>
      <c r="C221" s="30" t="s">
        <v>380</v>
      </c>
      <c r="D221" s="30">
        <v>2</v>
      </c>
      <c r="E221" s="168">
        <v>24.65</v>
      </c>
      <c r="F221" s="32">
        <f t="shared" si="3"/>
        <v>49.3</v>
      </c>
    </row>
    <row r="222" spans="1:6" x14ac:dyDescent="0.35">
      <c r="A222" s="30">
        <v>220</v>
      </c>
      <c r="B222" s="31" t="s">
        <v>626</v>
      </c>
      <c r="C222" s="30" t="s">
        <v>380</v>
      </c>
      <c r="D222" s="30">
        <v>1</v>
      </c>
      <c r="E222" s="168">
        <v>115.3</v>
      </c>
      <c r="F222" s="32">
        <f t="shared" si="3"/>
        <v>115.3</v>
      </c>
    </row>
    <row r="223" spans="1:6" x14ac:dyDescent="0.35">
      <c r="A223" s="30">
        <v>221</v>
      </c>
      <c r="B223" s="31" t="s">
        <v>627</v>
      </c>
      <c r="C223" s="30" t="s">
        <v>380</v>
      </c>
      <c r="D223" s="30">
        <v>1</v>
      </c>
      <c r="E223" s="168">
        <v>46.11</v>
      </c>
      <c r="F223" s="32">
        <f t="shared" si="3"/>
        <v>46.11</v>
      </c>
    </row>
    <row r="224" spans="1:6" ht="28" x14ac:dyDescent="0.35">
      <c r="A224" s="30">
        <v>222</v>
      </c>
      <c r="B224" s="31" t="s">
        <v>628</v>
      </c>
      <c r="C224" s="30" t="s">
        <v>380</v>
      </c>
      <c r="D224" s="30">
        <v>1</v>
      </c>
      <c r="E224" s="168">
        <v>97.53</v>
      </c>
      <c r="F224" s="32">
        <f t="shared" si="3"/>
        <v>97.53</v>
      </c>
    </row>
    <row r="225" spans="1:6" x14ac:dyDescent="0.35">
      <c r="A225" s="30">
        <v>223</v>
      </c>
      <c r="B225" s="31" t="s">
        <v>629</v>
      </c>
      <c r="C225" s="30" t="s">
        <v>380</v>
      </c>
      <c r="D225" s="30">
        <v>1</v>
      </c>
      <c r="E225" s="168">
        <v>109.74</v>
      </c>
      <c r="F225" s="32">
        <f t="shared" si="3"/>
        <v>109.74</v>
      </c>
    </row>
    <row r="226" spans="1:6" ht="28" x14ac:dyDescent="0.35">
      <c r="A226" s="30">
        <v>224</v>
      </c>
      <c r="B226" s="31" t="s">
        <v>630</v>
      </c>
      <c r="C226" s="30" t="s">
        <v>380</v>
      </c>
      <c r="D226" s="30">
        <v>1</v>
      </c>
      <c r="E226" s="168">
        <v>250.97</v>
      </c>
      <c r="F226" s="32">
        <f t="shared" si="3"/>
        <v>250.97</v>
      </c>
    </row>
    <row r="227" spans="1:6" x14ac:dyDescent="0.35">
      <c r="A227" s="30">
        <v>225</v>
      </c>
      <c r="B227" s="31" t="s">
        <v>631</v>
      </c>
      <c r="C227" s="30" t="s">
        <v>380</v>
      </c>
      <c r="D227" s="30">
        <v>1</v>
      </c>
      <c r="E227" s="168">
        <v>0.74</v>
      </c>
      <c r="F227" s="32">
        <f t="shared" si="3"/>
        <v>0.74</v>
      </c>
    </row>
    <row r="228" spans="1:6" x14ac:dyDescent="0.35">
      <c r="A228" s="30">
        <v>226</v>
      </c>
      <c r="B228" s="31" t="s">
        <v>632</v>
      </c>
      <c r="C228" s="30" t="s">
        <v>380</v>
      </c>
      <c r="D228" s="30">
        <v>1</v>
      </c>
      <c r="E228" s="168">
        <v>0.9</v>
      </c>
      <c r="F228" s="32">
        <f t="shared" si="3"/>
        <v>0.9</v>
      </c>
    </row>
    <row r="229" spans="1:6" x14ac:dyDescent="0.35">
      <c r="A229" s="30">
        <v>227</v>
      </c>
      <c r="B229" s="31" t="s">
        <v>633</v>
      </c>
      <c r="C229" s="30" t="s">
        <v>380</v>
      </c>
      <c r="D229" s="30">
        <v>1</v>
      </c>
      <c r="E229" s="168">
        <v>3.01</v>
      </c>
      <c r="F229" s="32">
        <f t="shared" si="3"/>
        <v>3.01</v>
      </c>
    </row>
    <row r="230" spans="1:6" x14ac:dyDescent="0.35">
      <c r="A230" s="30">
        <v>228</v>
      </c>
      <c r="B230" s="31" t="s">
        <v>634</v>
      </c>
      <c r="C230" s="30" t="s">
        <v>380</v>
      </c>
      <c r="D230" s="30">
        <v>1</v>
      </c>
      <c r="E230" s="168">
        <v>0.96</v>
      </c>
      <c r="F230" s="32">
        <f t="shared" si="3"/>
        <v>0.96</v>
      </c>
    </row>
    <row r="231" spans="1:6" x14ac:dyDescent="0.35">
      <c r="A231" s="30">
        <v>229</v>
      </c>
      <c r="B231" s="31" t="s">
        <v>635</v>
      </c>
      <c r="C231" s="30" t="s">
        <v>380</v>
      </c>
      <c r="D231" s="30">
        <v>1</v>
      </c>
      <c r="E231" s="168">
        <v>1.02</v>
      </c>
      <c r="F231" s="32">
        <f t="shared" si="3"/>
        <v>1.02</v>
      </c>
    </row>
    <row r="232" spans="1:6" x14ac:dyDescent="0.35">
      <c r="A232" s="30">
        <v>230</v>
      </c>
      <c r="B232" s="31" t="s">
        <v>636</v>
      </c>
      <c r="C232" s="30" t="s">
        <v>380</v>
      </c>
      <c r="D232" s="30">
        <v>1</v>
      </c>
      <c r="E232" s="168">
        <v>2.48</v>
      </c>
      <c r="F232" s="32">
        <f t="shared" si="3"/>
        <v>2.48</v>
      </c>
    </row>
    <row r="233" spans="1:6" x14ac:dyDescent="0.35">
      <c r="A233" s="30">
        <v>231</v>
      </c>
      <c r="B233" s="31" t="s">
        <v>637</v>
      </c>
      <c r="C233" s="30" t="s">
        <v>380</v>
      </c>
      <c r="D233" s="30">
        <v>1</v>
      </c>
      <c r="E233" s="168">
        <v>1.32</v>
      </c>
      <c r="F233" s="32">
        <f t="shared" si="3"/>
        <v>1.32</v>
      </c>
    </row>
    <row r="234" spans="1:6" x14ac:dyDescent="0.35">
      <c r="A234" s="30">
        <v>232</v>
      </c>
      <c r="B234" s="31" t="s">
        <v>638</v>
      </c>
      <c r="C234" s="30" t="s">
        <v>380</v>
      </c>
      <c r="D234" s="30">
        <v>1</v>
      </c>
      <c r="E234" s="168">
        <v>1.49</v>
      </c>
      <c r="F234" s="32">
        <f t="shared" si="3"/>
        <v>1.49</v>
      </c>
    </row>
    <row r="235" spans="1:6" x14ac:dyDescent="0.35">
      <c r="A235" s="30">
        <v>233</v>
      </c>
      <c r="B235" s="31" t="s">
        <v>639</v>
      </c>
      <c r="C235" s="30" t="s">
        <v>380</v>
      </c>
      <c r="D235" s="30">
        <v>1</v>
      </c>
      <c r="E235" s="168">
        <v>4.6900000000000004</v>
      </c>
      <c r="F235" s="32">
        <f t="shared" si="3"/>
        <v>4.6900000000000004</v>
      </c>
    </row>
    <row r="236" spans="1:6" x14ac:dyDescent="0.35">
      <c r="A236" s="30">
        <v>234</v>
      </c>
      <c r="B236" s="31" t="s">
        <v>640</v>
      </c>
      <c r="C236" s="30" t="s">
        <v>380</v>
      </c>
      <c r="D236" s="30">
        <v>1</v>
      </c>
      <c r="E236" s="168">
        <v>0.74</v>
      </c>
      <c r="F236" s="32">
        <f t="shared" si="3"/>
        <v>0.74</v>
      </c>
    </row>
    <row r="237" spans="1:6" x14ac:dyDescent="0.35">
      <c r="A237" s="30">
        <v>235</v>
      </c>
      <c r="B237" s="31" t="s">
        <v>641</v>
      </c>
      <c r="C237" s="30" t="s">
        <v>380</v>
      </c>
      <c r="D237" s="30">
        <v>1</v>
      </c>
      <c r="E237" s="168">
        <v>1.19</v>
      </c>
      <c r="F237" s="32">
        <f t="shared" si="3"/>
        <v>1.19</v>
      </c>
    </row>
    <row r="238" spans="1:6" x14ac:dyDescent="0.35">
      <c r="A238" s="30">
        <v>236</v>
      </c>
      <c r="B238" s="31" t="s">
        <v>642</v>
      </c>
      <c r="C238" s="30" t="s">
        <v>380</v>
      </c>
      <c r="D238" s="30">
        <v>1</v>
      </c>
      <c r="E238" s="168">
        <v>4.53</v>
      </c>
      <c r="F238" s="32">
        <f t="shared" si="3"/>
        <v>4.53</v>
      </c>
    </row>
    <row r="239" spans="1:6" x14ac:dyDescent="0.35">
      <c r="A239" s="30">
        <v>237</v>
      </c>
      <c r="B239" s="31" t="s">
        <v>643</v>
      </c>
      <c r="C239" s="30" t="s">
        <v>380</v>
      </c>
      <c r="D239" s="30">
        <v>1</v>
      </c>
      <c r="E239" s="168">
        <v>8.09</v>
      </c>
      <c r="F239" s="32">
        <f t="shared" si="3"/>
        <v>8.09</v>
      </c>
    </row>
    <row r="240" spans="1:6" x14ac:dyDescent="0.35">
      <c r="A240" s="30">
        <v>238</v>
      </c>
      <c r="B240" s="31" t="s">
        <v>644</v>
      </c>
      <c r="C240" s="30" t="s">
        <v>380</v>
      </c>
      <c r="D240" s="30">
        <v>1</v>
      </c>
      <c r="E240" s="168">
        <v>1.01</v>
      </c>
      <c r="F240" s="32">
        <f t="shared" si="3"/>
        <v>1.01</v>
      </c>
    </row>
    <row r="241" spans="1:6" x14ac:dyDescent="0.35">
      <c r="A241" s="30">
        <v>239</v>
      </c>
      <c r="B241" s="31" t="s">
        <v>645</v>
      </c>
      <c r="C241" s="30" t="s">
        <v>380</v>
      </c>
      <c r="D241" s="30">
        <v>1</v>
      </c>
      <c r="E241" s="168">
        <v>1.1100000000000001</v>
      </c>
      <c r="F241" s="32">
        <f t="shared" si="3"/>
        <v>1.1100000000000001</v>
      </c>
    </row>
    <row r="242" spans="1:6" x14ac:dyDescent="0.35">
      <c r="A242" s="30">
        <v>240</v>
      </c>
      <c r="B242" s="31" t="s">
        <v>646</v>
      </c>
      <c r="C242" s="30" t="s">
        <v>380</v>
      </c>
      <c r="D242" s="30">
        <v>1</v>
      </c>
      <c r="E242" s="168">
        <v>2.23</v>
      </c>
      <c r="F242" s="32">
        <f t="shared" si="3"/>
        <v>2.23</v>
      </c>
    </row>
    <row r="243" spans="1:6" x14ac:dyDescent="0.35">
      <c r="A243" s="30">
        <v>241</v>
      </c>
      <c r="B243" s="31" t="s">
        <v>647</v>
      </c>
      <c r="C243" s="30" t="s">
        <v>380</v>
      </c>
      <c r="D243" s="30">
        <v>1</v>
      </c>
      <c r="E243" s="168">
        <v>2.86</v>
      </c>
      <c r="F243" s="32">
        <f t="shared" si="3"/>
        <v>2.86</v>
      </c>
    </row>
    <row r="244" spans="1:6" x14ac:dyDescent="0.35">
      <c r="A244" s="30">
        <v>242</v>
      </c>
      <c r="B244" s="31" t="s">
        <v>648</v>
      </c>
      <c r="C244" s="30" t="s">
        <v>380</v>
      </c>
      <c r="D244" s="30">
        <v>1</v>
      </c>
      <c r="E244" s="168">
        <v>3.94</v>
      </c>
      <c r="F244" s="32">
        <f t="shared" si="3"/>
        <v>3.94</v>
      </c>
    </row>
    <row r="245" spans="1:6" x14ac:dyDescent="0.35">
      <c r="A245" s="30">
        <v>243</v>
      </c>
      <c r="B245" s="31" t="s">
        <v>649</v>
      </c>
      <c r="C245" s="30" t="s">
        <v>380</v>
      </c>
      <c r="D245" s="30">
        <v>1</v>
      </c>
      <c r="E245" s="168">
        <v>10.69</v>
      </c>
      <c r="F245" s="32">
        <f t="shared" si="3"/>
        <v>10.69</v>
      </c>
    </row>
    <row r="246" spans="1:6" x14ac:dyDescent="0.35">
      <c r="A246" s="30">
        <v>244</v>
      </c>
      <c r="B246" s="31" t="s">
        <v>650</v>
      </c>
      <c r="C246" s="30" t="s">
        <v>380</v>
      </c>
      <c r="D246" s="30">
        <v>1</v>
      </c>
      <c r="E246" s="168">
        <v>4.76</v>
      </c>
      <c r="F246" s="32">
        <f t="shared" si="3"/>
        <v>4.76</v>
      </c>
    </row>
    <row r="247" spans="1:6" x14ac:dyDescent="0.35">
      <c r="A247" s="30">
        <v>245</v>
      </c>
      <c r="B247" s="31" t="s">
        <v>651</v>
      </c>
      <c r="C247" s="30" t="s">
        <v>380</v>
      </c>
      <c r="D247" s="30">
        <v>1</v>
      </c>
      <c r="E247" s="168">
        <v>9.66</v>
      </c>
      <c r="F247" s="32">
        <f t="shared" si="3"/>
        <v>9.66</v>
      </c>
    </row>
    <row r="248" spans="1:6" x14ac:dyDescent="0.35">
      <c r="A248" s="30">
        <v>246</v>
      </c>
      <c r="B248" s="31" t="s">
        <v>652</v>
      </c>
      <c r="C248" s="30" t="s">
        <v>380</v>
      </c>
      <c r="D248" s="30">
        <v>1</v>
      </c>
      <c r="E248" s="168">
        <v>20.58</v>
      </c>
      <c r="F248" s="32">
        <f t="shared" si="3"/>
        <v>20.58</v>
      </c>
    </row>
    <row r="249" spans="1:6" x14ac:dyDescent="0.35">
      <c r="A249" s="30">
        <v>247</v>
      </c>
      <c r="B249" s="31" t="s">
        <v>653</v>
      </c>
      <c r="C249" s="30" t="s">
        <v>380</v>
      </c>
      <c r="D249" s="30">
        <v>1</v>
      </c>
      <c r="E249" s="168">
        <v>2.06</v>
      </c>
      <c r="F249" s="32">
        <f t="shared" si="3"/>
        <v>2.06</v>
      </c>
    </row>
    <row r="250" spans="1:6" x14ac:dyDescent="0.35">
      <c r="A250" s="30">
        <v>248</v>
      </c>
      <c r="B250" s="31" t="s">
        <v>654</v>
      </c>
      <c r="C250" s="30" t="s">
        <v>380</v>
      </c>
      <c r="D250" s="30">
        <v>1</v>
      </c>
      <c r="E250" s="168">
        <v>4.25</v>
      </c>
      <c r="F250" s="32">
        <f t="shared" si="3"/>
        <v>4.25</v>
      </c>
    </row>
    <row r="251" spans="1:6" x14ac:dyDescent="0.35">
      <c r="A251" s="30">
        <v>249</v>
      </c>
      <c r="B251" s="31" t="s">
        <v>655</v>
      </c>
      <c r="C251" s="30" t="s">
        <v>380</v>
      </c>
      <c r="D251" s="30">
        <v>1</v>
      </c>
      <c r="E251" s="168">
        <v>8.43</v>
      </c>
      <c r="F251" s="32">
        <f t="shared" si="3"/>
        <v>8.43</v>
      </c>
    </row>
    <row r="252" spans="1:6" x14ac:dyDescent="0.35">
      <c r="A252" s="30">
        <v>250</v>
      </c>
      <c r="B252" s="31" t="s">
        <v>656</v>
      </c>
      <c r="C252" s="30" t="s">
        <v>380</v>
      </c>
      <c r="D252" s="30">
        <v>1</v>
      </c>
      <c r="E252" s="168">
        <v>23.73</v>
      </c>
      <c r="F252" s="32">
        <f t="shared" si="3"/>
        <v>23.73</v>
      </c>
    </row>
    <row r="253" spans="1:6" x14ac:dyDescent="0.35">
      <c r="A253" s="30">
        <v>251</v>
      </c>
      <c r="B253" s="31" t="s">
        <v>657</v>
      </c>
      <c r="C253" s="30" t="s">
        <v>380</v>
      </c>
      <c r="D253" s="30">
        <v>1</v>
      </c>
      <c r="E253" s="168">
        <v>12.68</v>
      </c>
      <c r="F253" s="32">
        <f t="shared" si="3"/>
        <v>12.68</v>
      </c>
    </row>
    <row r="254" spans="1:6" x14ac:dyDescent="0.35">
      <c r="A254" s="30">
        <v>252</v>
      </c>
      <c r="B254" s="31" t="s">
        <v>658</v>
      </c>
      <c r="C254" s="30" t="s">
        <v>380</v>
      </c>
      <c r="D254" s="30">
        <v>1</v>
      </c>
      <c r="E254" s="168">
        <v>30.9</v>
      </c>
      <c r="F254" s="32">
        <f t="shared" si="3"/>
        <v>30.9</v>
      </c>
    </row>
    <row r="255" spans="1:6" x14ac:dyDescent="0.35">
      <c r="A255" s="30">
        <v>253</v>
      </c>
      <c r="B255" s="31" t="s">
        <v>659</v>
      </c>
      <c r="C255" s="30" t="s">
        <v>405</v>
      </c>
      <c r="D255" s="30">
        <v>1</v>
      </c>
      <c r="E255" s="168">
        <v>4.57</v>
      </c>
      <c r="F255" s="32">
        <f t="shared" si="3"/>
        <v>4.57</v>
      </c>
    </row>
    <row r="256" spans="1:6" x14ac:dyDescent="0.35">
      <c r="A256" s="30">
        <v>254</v>
      </c>
      <c r="B256" s="31" t="s">
        <v>660</v>
      </c>
      <c r="C256" s="30" t="s">
        <v>405</v>
      </c>
      <c r="D256" s="30">
        <v>1</v>
      </c>
      <c r="E256" s="168">
        <v>5.16</v>
      </c>
      <c r="F256" s="32">
        <f t="shared" si="3"/>
        <v>5.16</v>
      </c>
    </row>
    <row r="257" spans="1:6" x14ac:dyDescent="0.35">
      <c r="A257" s="30">
        <v>255</v>
      </c>
      <c r="B257" s="31" t="s">
        <v>661</v>
      </c>
      <c r="C257" s="30" t="s">
        <v>405</v>
      </c>
      <c r="D257" s="30">
        <v>1</v>
      </c>
      <c r="E257" s="168">
        <v>17.489999999999998</v>
      </c>
      <c r="F257" s="32">
        <f t="shared" si="3"/>
        <v>17.489999999999998</v>
      </c>
    </row>
    <row r="258" spans="1:6" x14ac:dyDescent="0.35">
      <c r="A258" s="30">
        <v>256</v>
      </c>
      <c r="B258" s="31" t="s">
        <v>662</v>
      </c>
      <c r="C258" s="30" t="s">
        <v>405</v>
      </c>
      <c r="D258" s="30">
        <v>1</v>
      </c>
      <c r="E258" s="168">
        <v>8.3699999999999992</v>
      </c>
      <c r="F258" s="32">
        <f t="shared" si="3"/>
        <v>8.3699999999999992</v>
      </c>
    </row>
    <row r="259" spans="1:6" x14ac:dyDescent="0.35">
      <c r="A259" s="30">
        <v>257</v>
      </c>
      <c r="B259" s="31" t="s">
        <v>663</v>
      </c>
      <c r="C259" s="30" t="s">
        <v>405</v>
      </c>
      <c r="D259" s="30">
        <v>1</v>
      </c>
      <c r="E259" s="168">
        <v>13.83</v>
      </c>
      <c r="F259" s="32">
        <f t="shared" si="3"/>
        <v>13.83</v>
      </c>
    </row>
    <row r="260" spans="1:6" x14ac:dyDescent="0.35">
      <c r="A260" s="30">
        <v>258</v>
      </c>
      <c r="B260" s="31" t="s">
        <v>664</v>
      </c>
      <c r="C260" s="30" t="s">
        <v>405</v>
      </c>
      <c r="D260" s="30">
        <v>1</v>
      </c>
      <c r="E260" s="168">
        <v>19.170000000000002</v>
      </c>
      <c r="F260" s="32">
        <f t="shared" ref="F260:F287" si="4">D260*E260</f>
        <v>19.170000000000002</v>
      </c>
    </row>
    <row r="261" spans="1:6" x14ac:dyDescent="0.35">
      <c r="A261" s="30">
        <v>259</v>
      </c>
      <c r="B261" s="31" t="s">
        <v>665</v>
      </c>
      <c r="C261" s="30" t="s">
        <v>405</v>
      </c>
      <c r="D261" s="30">
        <v>25</v>
      </c>
      <c r="E261" s="168">
        <v>20.61</v>
      </c>
      <c r="F261" s="32">
        <f t="shared" si="4"/>
        <v>515.25</v>
      </c>
    </row>
    <row r="262" spans="1:6" x14ac:dyDescent="0.35">
      <c r="A262" s="30">
        <v>260</v>
      </c>
      <c r="B262" s="31" t="s">
        <v>666</v>
      </c>
      <c r="C262" s="30" t="s">
        <v>405</v>
      </c>
      <c r="D262" s="30">
        <v>25</v>
      </c>
      <c r="E262" s="168">
        <v>43</v>
      </c>
      <c r="F262" s="32">
        <f t="shared" si="4"/>
        <v>1075</v>
      </c>
    </row>
    <row r="263" spans="1:6" x14ac:dyDescent="0.35">
      <c r="A263" s="30">
        <v>261</v>
      </c>
      <c r="B263" s="31" t="s">
        <v>667</v>
      </c>
      <c r="C263" s="30" t="s">
        <v>405</v>
      </c>
      <c r="D263" s="30">
        <v>25</v>
      </c>
      <c r="E263" s="168">
        <v>53.49</v>
      </c>
      <c r="F263" s="32">
        <f t="shared" si="4"/>
        <v>1337.25</v>
      </c>
    </row>
    <row r="264" spans="1:6" x14ac:dyDescent="0.35">
      <c r="A264" s="30">
        <v>262</v>
      </c>
      <c r="B264" s="31" t="s">
        <v>668</v>
      </c>
      <c r="C264" s="30" t="s">
        <v>405</v>
      </c>
      <c r="D264" s="30">
        <v>25</v>
      </c>
      <c r="E264" s="168">
        <v>31.7</v>
      </c>
      <c r="F264" s="32">
        <f t="shared" si="4"/>
        <v>792.5</v>
      </c>
    </row>
    <row r="265" spans="1:6" ht="28" x14ac:dyDescent="0.35">
      <c r="A265" s="30">
        <v>263</v>
      </c>
      <c r="B265" s="31" t="s">
        <v>669</v>
      </c>
      <c r="C265" s="30" t="s">
        <v>405</v>
      </c>
      <c r="D265" s="30">
        <v>25</v>
      </c>
      <c r="E265" s="168">
        <v>1.57</v>
      </c>
      <c r="F265" s="32">
        <f t="shared" si="4"/>
        <v>39.25</v>
      </c>
    </row>
    <row r="266" spans="1:6" ht="28" x14ac:dyDescent="0.35">
      <c r="A266" s="30">
        <v>264</v>
      </c>
      <c r="B266" s="31" t="s">
        <v>670</v>
      </c>
      <c r="C266" s="30" t="s">
        <v>405</v>
      </c>
      <c r="D266" s="30">
        <v>25</v>
      </c>
      <c r="E266" s="168">
        <v>1.24</v>
      </c>
      <c r="F266" s="32">
        <f t="shared" si="4"/>
        <v>31</v>
      </c>
    </row>
    <row r="267" spans="1:6" ht="28" x14ac:dyDescent="0.35">
      <c r="A267" s="30">
        <v>265</v>
      </c>
      <c r="B267" s="31" t="s">
        <v>671</v>
      </c>
      <c r="C267" s="30" t="s">
        <v>405</v>
      </c>
      <c r="D267" s="30">
        <v>25</v>
      </c>
      <c r="E267" s="168">
        <v>1.53</v>
      </c>
      <c r="F267" s="32">
        <f t="shared" si="4"/>
        <v>38.25</v>
      </c>
    </row>
    <row r="268" spans="1:6" ht="28" x14ac:dyDescent="0.35">
      <c r="A268" s="30">
        <v>266</v>
      </c>
      <c r="B268" s="31" t="s">
        <v>672</v>
      </c>
      <c r="C268" s="30" t="s">
        <v>405</v>
      </c>
      <c r="D268" s="30">
        <v>25</v>
      </c>
      <c r="E268" s="168">
        <v>2.61</v>
      </c>
      <c r="F268" s="32">
        <f t="shared" si="4"/>
        <v>65.25</v>
      </c>
    </row>
    <row r="269" spans="1:6" x14ac:dyDescent="0.35">
      <c r="A269" s="30">
        <v>267</v>
      </c>
      <c r="B269" s="31" t="s">
        <v>673</v>
      </c>
      <c r="C269" s="30" t="s">
        <v>439</v>
      </c>
      <c r="D269" s="30">
        <v>2</v>
      </c>
      <c r="E269" s="168">
        <v>427.13</v>
      </c>
      <c r="F269" s="32">
        <f t="shared" si="4"/>
        <v>854.26</v>
      </c>
    </row>
    <row r="270" spans="1:6" x14ac:dyDescent="0.35">
      <c r="A270" s="30">
        <v>268</v>
      </c>
      <c r="B270" s="31" t="s">
        <v>674</v>
      </c>
      <c r="C270" s="30" t="s">
        <v>439</v>
      </c>
      <c r="D270" s="30">
        <v>2</v>
      </c>
      <c r="E270" s="168">
        <v>298</v>
      </c>
      <c r="F270" s="32">
        <f t="shared" si="4"/>
        <v>596</v>
      </c>
    </row>
    <row r="271" spans="1:6" x14ac:dyDescent="0.35">
      <c r="A271" s="30">
        <v>269</v>
      </c>
      <c r="B271" s="31" t="s">
        <v>675</v>
      </c>
      <c r="C271" s="30" t="s">
        <v>439</v>
      </c>
      <c r="D271" s="30">
        <v>2</v>
      </c>
      <c r="E271" s="168">
        <v>211.08</v>
      </c>
      <c r="F271" s="32">
        <f t="shared" si="4"/>
        <v>422.16</v>
      </c>
    </row>
    <row r="272" spans="1:6" ht="42" x14ac:dyDescent="0.35">
      <c r="A272" s="30">
        <v>270</v>
      </c>
      <c r="B272" s="31" t="s">
        <v>676</v>
      </c>
      <c r="C272" s="30" t="s">
        <v>380</v>
      </c>
      <c r="D272" s="30">
        <v>10</v>
      </c>
      <c r="E272" s="168">
        <v>10.71</v>
      </c>
      <c r="F272" s="32">
        <f t="shared" si="4"/>
        <v>107.10000000000001</v>
      </c>
    </row>
    <row r="273" spans="1:6" ht="28" x14ac:dyDescent="0.35">
      <c r="A273" s="30">
        <v>271</v>
      </c>
      <c r="B273" s="31" t="s">
        <v>677</v>
      </c>
      <c r="C273" s="30" t="s">
        <v>380</v>
      </c>
      <c r="D273" s="30">
        <v>2</v>
      </c>
      <c r="E273" s="168">
        <v>100.34</v>
      </c>
      <c r="F273" s="32">
        <f t="shared" si="4"/>
        <v>200.68</v>
      </c>
    </row>
    <row r="274" spans="1:6" ht="28" x14ac:dyDescent="0.35">
      <c r="A274" s="30">
        <v>272</v>
      </c>
      <c r="B274" s="31" t="s">
        <v>678</v>
      </c>
      <c r="C274" s="30" t="s">
        <v>380</v>
      </c>
      <c r="D274" s="30">
        <v>8</v>
      </c>
      <c r="E274" s="168">
        <v>33</v>
      </c>
      <c r="F274" s="32">
        <f t="shared" si="4"/>
        <v>264</v>
      </c>
    </row>
    <row r="275" spans="1:6" ht="28" x14ac:dyDescent="0.35">
      <c r="A275" s="30">
        <v>273</v>
      </c>
      <c r="B275" s="31" t="s">
        <v>679</v>
      </c>
      <c r="C275" s="30" t="s">
        <v>380</v>
      </c>
      <c r="D275" s="30">
        <v>10</v>
      </c>
      <c r="E275" s="168">
        <v>72.760000000000005</v>
      </c>
      <c r="F275" s="32">
        <f t="shared" si="4"/>
        <v>727.6</v>
      </c>
    </row>
    <row r="276" spans="1:6" ht="28" x14ac:dyDescent="0.35">
      <c r="A276" s="30">
        <v>274</v>
      </c>
      <c r="B276" s="31" t="s">
        <v>680</v>
      </c>
      <c r="C276" s="30" t="s">
        <v>380</v>
      </c>
      <c r="D276" s="30">
        <v>10</v>
      </c>
      <c r="E276" s="168">
        <v>63.78</v>
      </c>
      <c r="F276" s="32">
        <f t="shared" si="4"/>
        <v>637.79999999999995</v>
      </c>
    </row>
    <row r="277" spans="1:6" ht="28" x14ac:dyDescent="0.35">
      <c r="A277" s="30">
        <v>275</v>
      </c>
      <c r="B277" s="31" t="s">
        <v>681</v>
      </c>
      <c r="C277" s="30" t="s">
        <v>380</v>
      </c>
      <c r="D277" s="30">
        <v>15</v>
      </c>
      <c r="E277" s="168">
        <v>69.709999999999994</v>
      </c>
      <c r="F277" s="32">
        <f t="shared" si="4"/>
        <v>1045.6499999999999</v>
      </c>
    </row>
    <row r="278" spans="1:6" ht="28" x14ac:dyDescent="0.35">
      <c r="A278" s="30">
        <v>276</v>
      </c>
      <c r="B278" s="31" t="s">
        <v>682</v>
      </c>
      <c r="C278" s="30" t="s">
        <v>380</v>
      </c>
      <c r="D278" s="30">
        <v>10</v>
      </c>
      <c r="E278" s="168">
        <v>47.52</v>
      </c>
      <c r="F278" s="32">
        <f t="shared" si="4"/>
        <v>475.20000000000005</v>
      </c>
    </row>
    <row r="279" spans="1:6" ht="28" x14ac:dyDescent="0.35">
      <c r="A279" s="30">
        <v>277</v>
      </c>
      <c r="B279" s="31" t="s">
        <v>683</v>
      </c>
      <c r="C279" s="30" t="s">
        <v>380</v>
      </c>
      <c r="D279" s="30">
        <v>2</v>
      </c>
      <c r="E279" s="168">
        <v>146.38</v>
      </c>
      <c r="F279" s="32">
        <f t="shared" si="4"/>
        <v>292.76</v>
      </c>
    </row>
    <row r="280" spans="1:6" ht="28" x14ac:dyDescent="0.35">
      <c r="A280" s="30">
        <v>278</v>
      </c>
      <c r="B280" s="31" t="s">
        <v>684</v>
      </c>
      <c r="C280" s="30" t="s">
        <v>380</v>
      </c>
      <c r="D280" s="30">
        <v>2</v>
      </c>
      <c r="E280" s="168">
        <v>329.56</v>
      </c>
      <c r="F280" s="32">
        <f t="shared" si="4"/>
        <v>659.12</v>
      </c>
    </row>
    <row r="281" spans="1:6" ht="42" x14ac:dyDescent="0.35">
      <c r="A281" s="30">
        <v>279</v>
      </c>
      <c r="B281" s="31" t="s">
        <v>685</v>
      </c>
      <c r="C281" s="30" t="s">
        <v>380</v>
      </c>
      <c r="D281" s="30">
        <v>5</v>
      </c>
      <c r="E281" s="168">
        <v>21.39</v>
      </c>
      <c r="F281" s="32">
        <f t="shared" si="4"/>
        <v>106.95</v>
      </c>
    </row>
    <row r="282" spans="1:6" ht="42" x14ac:dyDescent="0.35">
      <c r="A282" s="30">
        <v>280</v>
      </c>
      <c r="B282" s="31" t="s">
        <v>686</v>
      </c>
      <c r="C282" s="30" t="s">
        <v>380</v>
      </c>
      <c r="D282" s="30">
        <v>5</v>
      </c>
      <c r="E282" s="168">
        <v>18.5</v>
      </c>
      <c r="F282" s="32">
        <f t="shared" si="4"/>
        <v>92.5</v>
      </c>
    </row>
    <row r="283" spans="1:6" ht="42" x14ac:dyDescent="0.35">
      <c r="A283" s="30">
        <v>281</v>
      </c>
      <c r="B283" s="31" t="s">
        <v>687</v>
      </c>
      <c r="C283" s="30" t="s">
        <v>380</v>
      </c>
      <c r="D283" s="30">
        <v>5</v>
      </c>
      <c r="E283" s="168">
        <v>26.24</v>
      </c>
      <c r="F283" s="32">
        <f t="shared" si="4"/>
        <v>131.19999999999999</v>
      </c>
    </row>
    <row r="284" spans="1:6" ht="42" x14ac:dyDescent="0.35">
      <c r="A284" s="30">
        <v>282</v>
      </c>
      <c r="B284" s="31" t="s">
        <v>688</v>
      </c>
      <c r="C284" s="30" t="s">
        <v>380</v>
      </c>
      <c r="D284" s="30">
        <v>5</v>
      </c>
      <c r="E284" s="168">
        <v>34.49</v>
      </c>
      <c r="F284" s="32">
        <f t="shared" si="4"/>
        <v>172.45000000000002</v>
      </c>
    </row>
    <row r="285" spans="1:6" x14ac:dyDescent="0.35">
      <c r="A285" s="30">
        <v>283</v>
      </c>
      <c r="B285" s="31" t="s">
        <v>689</v>
      </c>
      <c r="C285" s="30" t="s">
        <v>439</v>
      </c>
      <c r="D285" s="30">
        <v>5</v>
      </c>
      <c r="E285" s="168">
        <v>277</v>
      </c>
      <c r="F285" s="32">
        <f t="shared" si="4"/>
        <v>1385</v>
      </c>
    </row>
    <row r="286" spans="1:6" x14ac:dyDescent="0.35">
      <c r="A286" s="30">
        <v>284</v>
      </c>
      <c r="B286" s="31" t="s">
        <v>690</v>
      </c>
      <c r="C286" s="30" t="s">
        <v>439</v>
      </c>
      <c r="D286" s="30">
        <v>5</v>
      </c>
      <c r="E286" s="168">
        <v>229.41</v>
      </c>
      <c r="F286" s="32">
        <f t="shared" si="4"/>
        <v>1147.05</v>
      </c>
    </row>
    <row r="287" spans="1:6" x14ac:dyDescent="0.35">
      <c r="A287" s="30">
        <v>285</v>
      </c>
      <c r="B287" s="31" t="s">
        <v>691</v>
      </c>
      <c r="C287" s="30" t="s">
        <v>380</v>
      </c>
      <c r="D287" s="30">
        <v>8</v>
      </c>
      <c r="E287" s="168">
        <v>199.01</v>
      </c>
      <c r="F287" s="32">
        <f t="shared" si="4"/>
        <v>1592.08</v>
      </c>
    </row>
    <row r="288" spans="1:6" x14ac:dyDescent="0.35">
      <c r="A288" s="471" t="s">
        <v>692</v>
      </c>
      <c r="B288" s="471"/>
      <c r="C288" s="471"/>
      <c r="D288" s="471"/>
      <c r="E288" s="471"/>
      <c r="F288" s="57">
        <f>SUM(F3:F287)</f>
        <v>150569.51933333327</v>
      </c>
    </row>
    <row r="289" spans="1:6" x14ac:dyDescent="0.35">
      <c r="A289" s="471" t="s">
        <v>693</v>
      </c>
      <c r="B289" s="471"/>
      <c r="C289" s="471"/>
      <c r="D289" s="471"/>
      <c r="E289" s="471"/>
      <c r="F289" s="57">
        <f>F288/12</f>
        <v>12547.459944444439</v>
      </c>
    </row>
    <row r="291" spans="1:6" x14ac:dyDescent="0.35">
      <c r="A291" s="472" t="s">
        <v>374</v>
      </c>
      <c r="B291" s="472"/>
      <c r="C291" s="472"/>
      <c r="D291" s="472"/>
      <c r="E291" s="472"/>
      <c r="F291" s="58">
        <f>J13</f>
        <v>0.15279999999999999</v>
      </c>
    </row>
    <row r="292" spans="1:6" x14ac:dyDescent="0.35">
      <c r="A292" s="473" t="s">
        <v>694</v>
      </c>
      <c r="B292" s="474"/>
      <c r="C292" s="474"/>
      <c r="D292" s="474"/>
      <c r="E292" s="475"/>
      <c r="F292" s="59">
        <f>ROUND((F288+(F288*F291)),4)</f>
        <v>173576.54190000001</v>
      </c>
    </row>
    <row r="293" spans="1:6" x14ac:dyDescent="0.35">
      <c r="A293" s="473" t="s">
        <v>695</v>
      </c>
      <c r="B293" s="474"/>
      <c r="C293" s="474"/>
      <c r="D293" s="474"/>
      <c r="E293" s="475"/>
      <c r="F293" s="59">
        <f>ROUND((F289+(F289*F291)),4)</f>
        <v>14464.711799999999</v>
      </c>
    </row>
    <row r="294" spans="1:6" x14ac:dyDescent="0.35">
      <c r="A294" s="26"/>
      <c r="B294" s="26"/>
      <c r="C294" s="26"/>
      <c r="D294" s="26"/>
      <c r="E294" s="26"/>
      <c r="F294" s="26"/>
    </row>
  </sheetData>
  <sheetProtection algorithmName="SHA-512" hashValue="d5g1LKj4pSL5QX4iRStzyGtV8CX6jVJXgveVTb3M3tahgeUuCqM73+d1IC4LuwbHj34L3TofirVIivhoRzS5BA==" saltValue="6MGrvCYaMknZjcvirhdMYw==" spinCount="100000" sheet="1" objects="1" scenarios="1"/>
  <mergeCells count="16">
    <mergeCell ref="H20:J20"/>
    <mergeCell ref="A1:F1"/>
    <mergeCell ref="H1:J1"/>
    <mergeCell ref="H13:I13"/>
    <mergeCell ref="H15:J15"/>
    <mergeCell ref="H17:J17"/>
    <mergeCell ref="A289:E289"/>
    <mergeCell ref="A291:E291"/>
    <mergeCell ref="A292:E292"/>
    <mergeCell ref="A293:E293"/>
    <mergeCell ref="H21:J21"/>
    <mergeCell ref="H22:J22"/>
    <mergeCell ref="H23:J23"/>
    <mergeCell ref="H24:J24"/>
    <mergeCell ref="H25:J25"/>
    <mergeCell ref="A288:E288"/>
  </mergeCells>
  <conditionalFormatting sqref="F3">
    <cfRule type="cellIs" dxfId="349" priority="298" operator="greaterThan">
      <formula>678.694</formula>
    </cfRule>
  </conditionalFormatting>
  <conditionalFormatting sqref="F4">
    <cfRule type="cellIs" dxfId="348" priority="297" operator="greaterThan">
      <formula>571.97</formula>
    </cfRule>
  </conditionalFormatting>
  <conditionalFormatting sqref="F5">
    <cfRule type="cellIs" dxfId="347" priority="296" operator="greaterThan">
      <formula>799.43</formula>
    </cfRule>
  </conditionalFormatting>
  <conditionalFormatting sqref="F6">
    <cfRule type="cellIs" dxfId="346" priority="295" operator="greaterThan">
      <formula>1487.32</formula>
    </cfRule>
  </conditionalFormatting>
  <conditionalFormatting sqref="F7">
    <cfRule type="cellIs" dxfId="345" priority="294" operator="greaterThan">
      <formula>1811.088</formula>
    </cfRule>
  </conditionalFormatting>
  <conditionalFormatting sqref="F8">
    <cfRule type="cellIs" dxfId="344" priority="293" operator="greaterThan">
      <formula>2085.06</formula>
    </cfRule>
    <cfRule type="cellIs" dxfId="343" priority="292" operator="greaterThan">
      <formula>2085.06</formula>
    </cfRule>
  </conditionalFormatting>
  <conditionalFormatting sqref="F9">
    <cfRule type="cellIs" dxfId="342" priority="291" operator="greaterThan">
      <formula>59.5</formula>
    </cfRule>
  </conditionalFormatting>
  <conditionalFormatting sqref="F10">
    <cfRule type="cellIs" dxfId="341" priority="290" operator="greaterThan">
      <formula>88.55</formula>
    </cfRule>
  </conditionalFormatting>
  <conditionalFormatting sqref="F11">
    <cfRule type="cellIs" dxfId="340" priority="289" operator="greaterThan">
      <formula>158.415</formula>
    </cfRule>
  </conditionalFormatting>
  <conditionalFormatting sqref="F12">
    <cfRule type="cellIs" dxfId="339" priority="288" operator="greaterThan">
      <formula>153.24</formula>
    </cfRule>
    <cfRule type="cellIs" dxfId="338" priority="287" operator="greaterThan">
      <formula>153.24</formula>
    </cfRule>
  </conditionalFormatting>
  <conditionalFormatting sqref="F13">
    <cfRule type="cellIs" dxfId="337" priority="286" operator="greaterThan">
      <formula>259.41</formula>
    </cfRule>
  </conditionalFormatting>
  <conditionalFormatting sqref="F14">
    <cfRule type="cellIs" dxfId="336" priority="285" operator="greaterThan">
      <formula>523.39</formula>
    </cfRule>
  </conditionalFormatting>
  <conditionalFormatting sqref="F15">
    <cfRule type="cellIs" dxfId="335" priority="284" operator="greaterThan">
      <formula>90</formula>
    </cfRule>
  </conditionalFormatting>
  <conditionalFormatting sqref="F16">
    <cfRule type="cellIs" dxfId="334" priority="283" operator="greaterThan">
      <formula>364.72</formula>
    </cfRule>
  </conditionalFormatting>
  <conditionalFormatting sqref="F17">
    <cfRule type="cellIs" dxfId="333" priority="282" operator="greaterThan">
      <formula>190.32</formula>
    </cfRule>
  </conditionalFormatting>
  <conditionalFormatting sqref="F18">
    <cfRule type="cellIs" dxfId="332" priority="281" operator="greaterThan">
      <formula>368.82</formula>
    </cfRule>
  </conditionalFormatting>
  <conditionalFormatting sqref="F19">
    <cfRule type="cellIs" dxfId="331" priority="280" operator="greaterThan">
      <formula>479.2</formula>
    </cfRule>
    <cfRule type="cellIs" dxfId="330" priority="279" operator="greaterThan">
      <formula>479.2</formula>
    </cfRule>
  </conditionalFormatting>
  <conditionalFormatting sqref="F20">
    <cfRule type="cellIs" dxfId="329" priority="278" operator="greaterThan">
      <formula>1401.66</formula>
    </cfRule>
  </conditionalFormatting>
  <conditionalFormatting sqref="F21">
    <cfRule type="cellIs" dxfId="328" priority="277" operator="greaterThan">
      <formula>1671.84</formula>
    </cfRule>
  </conditionalFormatting>
  <conditionalFormatting sqref="F22">
    <cfRule type="cellIs" dxfId="327" priority="276" operator="greaterThan">
      <formula>1823.34</formula>
    </cfRule>
  </conditionalFormatting>
  <conditionalFormatting sqref="F23">
    <cfRule type="cellIs" dxfId="326" priority="275" operator="greaterThan">
      <formula>537.66</formula>
    </cfRule>
  </conditionalFormatting>
  <conditionalFormatting sqref="F24">
    <cfRule type="cellIs" dxfId="325" priority="274" operator="greaterThan">
      <formula>430.69</formula>
    </cfRule>
  </conditionalFormatting>
  <conditionalFormatting sqref="F25">
    <cfRule type="cellIs" dxfId="324" priority="273" operator="greaterThan">
      <formula>464.915</formula>
    </cfRule>
  </conditionalFormatting>
  <conditionalFormatting sqref="F26">
    <cfRule type="cellIs" dxfId="323" priority="272" operator="greaterThan">
      <formula>525</formula>
    </cfRule>
  </conditionalFormatting>
  <conditionalFormatting sqref="F27">
    <cfRule type="cellIs" dxfId="322" priority="271" operator="greaterThan">
      <formula>3047.98</formula>
    </cfRule>
  </conditionalFormatting>
  <conditionalFormatting sqref="F28">
    <cfRule type="cellIs" dxfId="321" priority="270" operator="greaterThan">
      <formula>2195.44</formula>
    </cfRule>
  </conditionalFormatting>
  <conditionalFormatting sqref="F29">
    <cfRule type="cellIs" dxfId="320" priority="269" operator="greaterThan">
      <formula>4916.87</formula>
    </cfRule>
  </conditionalFormatting>
  <conditionalFormatting sqref="F30">
    <cfRule type="cellIs" dxfId="319" priority="268" operator="greaterThan">
      <formula>4761.688</formula>
    </cfRule>
  </conditionalFormatting>
  <conditionalFormatting sqref="F31">
    <cfRule type="cellIs" dxfId="318" priority="267" operator="greaterThan">
      <formula>2708.86</formula>
    </cfRule>
  </conditionalFormatting>
  <conditionalFormatting sqref="F32">
    <cfRule type="cellIs" dxfId="317" priority="266" operator="greaterThan">
      <formula>3183.23</formula>
    </cfRule>
  </conditionalFormatting>
  <conditionalFormatting sqref="F33">
    <cfRule type="cellIs" dxfId="316" priority="265" operator="greaterThan">
      <formula>50.31</formula>
    </cfRule>
  </conditionalFormatting>
  <conditionalFormatting sqref="F34">
    <cfRule type="cellIs" dxfId="315" priority="264" operator="greaterThan">
      <formula>91.34</formula>
    </cfRule>
  </conditionalFormatting>
  <conditionalFormatting sqref="F35">
    <cfRule type="cellIs" dxfId="314" priority="263" operator="greaterThan">
      <formula>117.52</formula>
    </cfRule>
  </conditionalFormatting>
  <conditionalFormatting sqref="F36">
    <cfRule type="cellIs" dxfId="313" priority="262" operator="greaterThan">
      <formula>135.46</formula>
    </cfRule>
  </conditionalFormatting>
  <conditionalFormatting sqref="F37">
    <cfRule type="cellIs" dxfId="312" priority="261" operator="greaterThan">
      <formula>50.74</formula>
    </cfRule>
  </conditionalFormatting>
  <conditionalFormatting sqref="F38">
    <cfRule type="cellIs" dxfId="311" priority="260" operator="greaterThan">
      <formula>1014</formula>
    </cfRule>
  </conditionalFormatting>
  <conditionalFormatting sqref="F39">
    <cfRule type="cellIs" dxfId="310" priority="259" operator="greaterThan">
      <formula>199.15</formula>
    </cfRule>
  </conditionalFormatting>
  <conditionalFormatting sqref="F40">
    <cfRule type="cellIs" dxfId="309" priority="258" operator="greaterThan">
      <formula>889.22</formula>
    </cfRule>
  </conditionalFormatting>
  <conditionalFormatting sqref="F41">
    <cfRule type="cellIs" dxfId="308" priority="257" operator="greaterThan">
      <formula>1196</formula>
    </cfRule>
  </conditionalFormatting>
  <conditionalFormatting sqref="F42">
    <cfRule type="cellIs" dxfId="307" priority="256" operator="greaterThan">
      <formula>1101.738</formula>
    </cfRule>
  </conditionalFormatting>
  <conditionalFormatting sqref="F43">
    <cfRule type="cellIs" dxfId="306" priority="255" operator="greaterThan">
      <formula>954.6</formula>
    </cfRule>
  </conditionalFormatting>
  <conditionalFormatting sqref="F44">
    <cfRule type="cellIs" dxfId="305" priority="254" operator="greaterThan">
      <formula>425.7</formula>
    </cfRule>
  </conditionalFormatting>
  <conditionalFormatting sqref="F45">
    <cfRule type="cellIs" dxfId="304" priority="253" operator="greaterThan">
      <formula>498.2</formula>
    </cfRule>
  </conditionalFormatting>
  <conditionalFormatting sqref="F46">
    <cfRule type="cellIs" dxfId="303" priority="252" operator="greaterThan">
      <formula>686.8</formula>
    </cfRule>
  </conditionalFormatting>
  <conditionalFormatting sqref="F47">
    <cfRule type="cellIs" dxfId="302" priority="251" operator="greaterThan">
      <formula>836.8</formula>
    </cfRule>
  </conditionalFormatting>
  <conditionalFormatting sqref="F48">
    <cfRule type="cellIs" dxfId="301" priority="250" operator="greaterThan">
      <formula>1233.4</formula>
    </cfRule>
  </conditionalFormatting>
  <conditionalFormatting sqref="F49">
    <cfRule type="cellIs" dxfId="300" priority="249" operator="greaterThan">
      <formula>1514.35</formula>
    </cfRule>
  </conditionalFormatting>
  <conditionalFormatting sqref="F50">
    <cfRule type="cellIs" dxfId="299" priority="248" operator="greaterThan">
      <formula>954.54</formula>
    </cfRule>
  </conditionalFormatting>
  <conditionalFormatting sqref="F51">
    <cfRule type="cellIs" dxfId="298" priority="247" operator="greaterThan">
      <formula>358.9</formula>
    </cfRule>
  </conditionalFormatting>
  <conditionalFormatting sqref="F52">
    <cfRule type="cellIs" dxfId="297" priority="246" operator="greaterThan">
      <formula>387.835</formula>
    </cfRule>
  </conditionalFormatting>
  <conditionalFormatting sqref="F53">
    <cfRule type="cellIs" dxfId="296" priority="245" operator="greaterThan">
      <formula>472.7</formula>
    </cfRule>
  </conditionalFormatting>
  <conditionalFormatting sqref="F54">
    <cfRule type="cellIs" dxfId="295" priority="244" operator="greaterThan">
      <formula>465.5</formula>
    </cfRule>
  </conditionalFormatting>
  <conditionalFormatting sqref="F55">
    <cfRule type="cellIs" dxfId="294" priority="243" operator="greaterThan">
      <formula>819.55</formula>
    </cfRule>
  </conditionalFormatting>
  <conditionalFormatting sqref="F56">
    <cfRule type="cellIs" dxfId="293" priority="242" operator="greaterThan">
      <formula>5313.2</formula>
    </cfRule>
  </conditionalFormatting>
  <conditionalFormatting sqref="F57">
    <cfRule type="cellIs" dxfId="292" priority="241" operator="greaterThan">
      <formula>19</formula>
    </cfRule>
  </conditionalFormatting>
  <conditionalFormatting sqref="F58">
    <cfRule type="cellIs" dxfId="291" priority="240" operator="greaterThan">
      <formula>25</formula>
    </cfRule>
  </conditionalFormatting>
  <conditionalFormatting sqref="F59">
    <cfRule type="cellIs" dxfId="290" priority="239" operator="greaterThan">
      <formula>124</formula>
    </cfRule>
  </conditionalFormatting>
  <conditionalFormatting sqref="F60">
    <cfRule type="cellIs" dxfId="289" priority="238" operator="greaterThan">
      <formula>104.5</formula>
    </cfRule>
  </conditionalFormatting>
  <conditionalFormatting sqref="F61">
    <cfRule type="cellIs" dxfId="288" priority="237" operator="greaterThan">
      <formula>100</formula>
    </cfRule>
  </conditionalFormatting>
  <conditionalFormatting sqref="F62">
    <cfRule type="cellIs" dxfId="287" priority="236" operator="greaterThan">
      <formula>60</formula>
    </cfRule>
  </conditionalFormatting>
  <conditionalFormatting sqref="F63">
    <cfRule type="cellIs" dxfId="286" priority="235" operator="greaterThan">
      <formula>123</formula>
    </cfRule>
  </conditionalFormatting>
  <conditionalFormatting sqref="F64">
    <cfRule type="cellIs" dxfId="285" priority="234" operator="greaterThan">
      <formula>61</formula>
    </cfRule>
  </conditionalFormatting>
  <conditionalFormatting sqref="F65">
    <cfRule type="cellIs" dxfId="284" priority="233" operator="greaterThan">
      <formula>93</formula>
    </cfRule>
  </conditionalFormatting>
  <conditionalFormatting sqref="F66">
    <cfRule type="cellIs" dxfId="283" priority="232" operator="greaterThan">
      <formula>522.5</formula>
    </cfRule>
  </conditionalFormatting>
  <conditionalFormatting sqref="F67">
    <cfRule type="cellIs" dxfId="282" priority="231" operator="greaterThan">
      <formula>3856</formula>
    </cfRule>
  </conditionalFormatting>
  <conditionalFormatting sqref="F68">
    <cfRule type="cellIs" dxfId="281" priority="230" operator="greaterThan">
      <formula>1596</formula>
    </cfRule>
  </conditionalFormatting>
  <conditionalFormatting sqref="F69">
    <cfRule type="cellIs" dxfId="280" priority="229" operator="greaterThan">
      <formula>2292</formula>
    </cfRule>
  </conditionalFormatting>
  <conditionalFormatting sqref="F70">
    <cfRule type="cellIs" dxfId="279" priority="228" operator="greaterThan">
      <formula>1096</formula>
    </cfRule>
  </conditionalFormatting>
  <conditionalFormatting sqref="F71">
    <cfRule type="cellIs" dxfId="278" priority="227" operator="greaterThan">
      <formula>456</formula>
    </cfRule>
  </conditionalFormatting>
  <conditionalFormatting sqref="F72">
    <cfRule type="cellIs" dxfId="277" priority="226" operator="greaterThan">
      <formula>606</formula>
    </cfRule>
  </conditionalFormatting>
  <conditionalFormatting sqref="F73">
    <cfRule type="cellIs" dxfId="276" priority="225" operator="greaterThan">
      <formula>1406</formula>
    </cfRule>
  </conditionalFormatting>
  <conditionalFormatting sqref="F74">
    <cfRule type="cellIs" dxfId="275" priority="224" operator="greaterThan">
      <formula>1826</formula>
    </cfRule>
  </conditionalFormatting>
  <conditionalFormatting sqref="F75">
    <cfRule type="cellIs" dxfId="274" priority="223" operator="greaterThan">
      <formula>1949</formula>
    </cfRule>
  </conditionalFormatting>
  <conditionalFormatting sqref="F76">
    <cfRule type="cellIs" dxfId="273" priority="222" operator="greaterThan">
      <formula>783</formula>
    </cfRule>
  </conditionalFormatting>
  <conditionalFormatting sqref="F77">
    <cfRule type="cellIs" dxfId="272" priority="221" operator="greaterThan">
      <formula>1290.5</formula>
    </cfRule>
  </conditionalFormatting>
  <conditionalFormatting sqref="F78">
    <cfRule type="cellIs" dxfId="271" priority="220" operator="greaterThan">
      <formula>799</formula>
    </cfRule>
  </conditionalFormatting>
  <conditionalFormatting sqref="F79">
    <cfRule type="cellIs" dxfId="270" priority="219" operator="greaterThan">
      <formula>14.9</formula>
    </cfRule>
  </conditionalFormatting>
  <conditionalFormatting sqref="F80">
    <cfRule type="cellIs" dxfId="269" priority="218" operator="greaterThan">
      <formula>12.07</formula>
    </cfRule>
  </conditionalFormatting>
  <conditionalFormatting sqref="F81">
    <cfRule type="cellIs" dxfId="268" priority="217" operator="greaterThan">
      <formula>12.47</formula>
    </cfRule>
  </conditionalFormatting>
  <conditionalFormatting sqref="F82">
    <cfRule type="cellIs" dxfId="267" priority="216" operator="greaterThan">
      <formula>131.2</formula>
    </cfRule>
  </conditionalFormatting>
  <conditionalFormatting sqref="F83">
    <cfRule type="cellIs" dxfId="266" priority="215" operator="greaterThan">
      <formula>183.7</formula>
    </cfRule>
  </conditionalFormatting>
  <conditionalFormatting sqref="F84">
    <cfRule type="cellIs" dxfId="265" priority="214" operator="greaterThan">
      <formula>33.2</formula>
    </cfRule>
  </conditionalFormatting>
  <conditionalFormatting sqref="F85">
    <cfRule type="cellIs" dxfId="264" priority="213" operator="greaterThan">
      <formula>33.2</formula>
    </cfRule>
  </conditionalFormatting>
  <conditionalFormatting sqref="F86">
    <cfRule type="cellIs" dxfId="263" priority="212" operator="greaterThan">
      <formula>35.24</formula>
    </cfRule>
  </conditionalFormatting>
  <conditionalFormatting sqref="F87">
    <cfRule type="cellIs" dxfId="262" priority="211" operator="greaterThan">
      <formula>51.8</formula>
    </cfRule>
  </conditionalFormatting>
  <conditionalFormatting sqref="F88">
    <cfRule type="cellIs" dxfId="261" priority="210" operator="greaterThan">
      <formula>24</formula>
    </cfRule>
  </conditionalFormatting>
  <conditionalFormatting sqref="F89">
    <cfRule type="cellIs" dxfId="260" priority="209" operator="greaterThan">
      <formula>71.6</formula>
    </cfRule>
  </conditionalFormatting>
  <conditionalFormatting sqref="F90">
    <cfRule type="cellIs" dxfId="259" priority="208" operator="greaterThan">
      <formula>33.4</formula>
    </cfRule>
  </conditionalFormatting>
  <conditionalFormatting sqref="F91">
    <cfRule type="cellIs" dxfId="258" priority="207" operator="greaterThan">
      <formula>252.6</formula>
    </cfRule>
  </conditionalFormatting>
  <conditionalFormatting sqref="F92">
    <cfRule type="cellIs" dxfId="257" priority="206" operator="greaterThan">
      <formula>179.3</formula>
    </cfRule>
  </conditionalFormatting>
  <conditionalFormatting sqref="F93">
    <cfRule type="cellIs" dxfId="256" priority="205" operator="greaterThan">
      <formula>123.7</formula>
    </cfRule>
  </conditionalFormatting>
  <conditionalFormatting sqref="F94">
    <cfRule type="cellIs" dxfId="255" priority="204" operator="greaterThan">
      <formula>197.1</formula>
    </cfRule>
  </conditionalFormatting>
  <conditionalFormatting sqref="F95">
    <cfRule type="cellIs" dxfId="254" priority="203" operator="greaterThan">
      <formula>204</formula>
    </cfRule>
  </conditionalFormatting>
  <conditionalFormatting sqref="F96">
    <cfRule type="cellIs" dxfId="253" priority="202" operator="greaterThan">
      <formula>221</formula>
    </cfRule>
  </conditionalFormatting>
  <conditionalFormatting sqref="F97">
    <cfRule type="cellIs" dxfId="252" priority="201" operator="greaterThan">
      <formula>189</formula>
    </cfRule>
  </conditionalFormatting>
  <conditionalFormatting sqref="F98">
    <cfRule type="cellIs" dxfId="251" priority="200" operator="greaterThan">
      <formula>202.6</formula>
    </cfRule>
  </conditionalFormatting>
  <conditionalFormatting sqref="F99">
    <cfRule type="cellIs" dxfId="250" priority="199" operator="greaterThan">
      <formula>572.5</formula>
    </cfRule>
  </conditionalFormatting>
  <conditionalFormatting sqref="F100">
    <cfRule type="cellIs" dxfId="249" priority="198" operator="greaterThan">
      <formula>78</formula>
    </cfRule>
  </conditionalFormatting>
  <conditionalFormatting sqref="F101">
    <cfRule type="cellIs" dxfId="248" priority="197" operator="greaterThan">
      <formula>111</formula>
    </cfRule>
  </conditionalFormatting>
  <conditionalFormatting sqref="F102">
    <cfRule type="cellIs" dxfId="247" priority="196" operator="greaterThan">
      <formula>87.5</formula>
    </cfRule>
  </conditionalFormatting>
  <conditionalFormatting sqref="F103">
    <cfRule type="cellIs" dxfId="246" priority="195" operator="greaterThan">
      <formula>85.2</formula>
    </cfRule>
  </conditionalFormatting>
  <conditionalFormatting sqref="F104">
    <cfRule type="cellIs" dxfId="245" priority="194" operator="greaterThan">
      <formula>119.6</formula>
    </cfRule>
  </conditionalFormatting>
  <conditionalFormatting sqref="F105">
    <cfRule type="cellIs" dxfId="244" priority="193" operator="greaterThan">
      <formula>214.8</formula>
    </cfRule>
  </conditionalFormatting>
  <conditionalFormatting sqref="F106">
    <cfRule type="cellIs" dxfId="243" priority="192" operator="greaterThan">
      <formula>347.2</formula>
    </cfRule>
  </conditionalFormatting>
  <conditionalFormatting sqref="F107">
    <cfRule type="cellIs" dxfId="242" priority="191" operator="greaterThan">
      <formula>1530</formula>
    </cfRule>
  </conditionalFormatting>
  <conditionalFormatting sqref="F108">
    <cfRule type="cellIs" dxfId="241" priority="190" operator="greaterThan">
      <formula>1422</formula>
    </cfRule>
  </conditionalFormatting>
  <conditionalFormatting sqref="F109">
    <cfRule type="cellIs" dxfId="240" priority="189" operator="greaterThan">
      <formula>53.2</formula>
    </cfRule>
  </conditionalFormatting>
  <conditionalFormatting sqref="F110">
    <cfRule type="cellIs" dxfId="239" priority="188" operator="greaterThan">
      <formula>2040</formula>
    </cfRule>
  </conditionalFormatting>
  <conditionalFormatting sqref="F111">
    <cfRule type="cellIs" dxfId="238" priority="187" operator="greaterThan">
      <formula>267.2</formula>
    </cfRule>
  </conditionalFormatting>
  <conditionalFormatting sqref="F112">
    <cfRule type="cellIs" dxfId="237" priority="186" operator="greaterThan">
      <formula>308.6</formula>
    </cfRule>
  </conditionalFormatting>
  <conditionalFormatting sqref="F113">
    <cfRule type="cellIs" dxfId="236" priority="185" operator="greaterThan">
      <formula>18.7</formula>
    </cfRule>
  </conditionalFormatting>
  <conditionalFormatting sqref="F114">
    <cfRule type="cellIs" dxfId="235" priority="184" operator="greaterThan">
      <formula>30.7</formula>
    </cfRule>
  </conditionalFormatting>
  <conditionalFormatting sqref="F115">
    <cfRule type="cellIs" dxfId="234" priority="183" operator="greaterThan">
      <formula>28.5</formula>
    </cfRule>
  </conditionalFormatting>
  <conditionalFormatting sqref="F116">
    <cfRule type="cellIs" dxfId="233" priority="182" operator="greaterThan">
      <formula>29.5</formula>
    </cfRule>
  </conditionalFormatting>
  <conditionalFormatting sqref="F117">
    <cfRule type="cellIs" dxfId="232" priority="181" operator="greaterThan">
      <formula>36.1</formula>
    </cfRule>
  </conditionalFormatting>
  <conditionalFormatting sqref="F118">
    <cfRule type="cellIs" dxfId="231" priority="180" operator="greaterThan">
      <formula>86.4</formula>
    </cfRule>
  </conditionalFormatting>
  <conditionalFormatting sqref="F119">
    <cfRule type="cellIs" dxfId="230" priority="179" operator="greaterThan">
      <formula>73.4</formula>
    </cfRule>
  </conditionalFormatting>
  <conditionalFormatting sqref="F120">
    <cfRule type="cellIs" dxfId="229" priority="178" operator="greaterThan">
      <formula>73.4</formula>
    </cfRule>
  </conditionalFormatting>
  <conditionalFormatting sqref="F121">
    <cfRule type="cellIs" dxfId="228" priority="177" operator="greaterThan">
      <formula>97</formula>
    </cfRule>
  </conditionalFormatting>
  <conditionalFormatting sqref="F122">
    <cfRule type="cellIs" dxfId="227" priority="176" operator="greaterThan">
      <formula>124.1</formula>
    </cfRule>
  </conditionalFormatting>
  <conditionalFormatting sqref="F123">
    <cfRule type="cellIs" dxfId="226" priority="175" operator="greaterThan">
      <formula>114</formula>
    </cfRule>
  </conditionalFormatting>
  <conditionalFormatting sqref="F124">
    <cfRule type="cellIs" dxfId="225" priority="174" operator="greaterThan">
      <formula>221.4</formula>
    </cfRule>
  </conditionalFormatting>
  <conditionalFormatting sqref="F125">
    <cfRule type="cellIs" dxfId="224" priority="173" operator="greaterThan">
      <formula>197.5</formula>
    </cfRule>
  </conditionalFormatting>
  <conditionalFormatting sqref="F126">
    <cfRule type="cellIs" dxfId="223" priority="172" operator="greaterThan">
      <formula>399.4</formula>
    </cfRule>
  </conditionalFormatting>
  <conditionalFormatting sqref="F127">
    <cfRule type="cellIs" dxfId="222" priority="171" operator="greaterThan">
      <formula>443.4</formula>
    </cfRule>
  </conditionalFormatting>
  <conditionalFormatting sqref="F128">
    <cfRule type="cellIs" dxfId="221" priority="170" operator="greaterThan">
      <formula>84.8</formula>
    </cfRule>
    <cfRule type="cellIs" dxfId="220" priority="165" operator="greaterThan">
      <formula>84.8</formula>
    </cfRule>
  </conditionalFormatting>
  <conditionalFormatting sqref="F129">
    <cfRule type="cellIs" dxfId="219" priority="169" operator="greaterThan">
      <formula>125.8</formula>
    </cfRule>
    <cfRule type="cellIs" dxfId="218" priority="164" operator="greaterThan">
      <formula>125.8</formula>
    </cfRule>
  </conditionalFormatting>
  <conditionalFormatting sqref="F130">
    <cfRule type="cellIs" dxfId="217" priority="168" operator="greaterThan">
      <formula>76.9</formula>
    </cfRule>
    <cfRule type="cellIs" dxfId="216" priority="163" operator="greaterThan">
      <formula>76.9</formula>
    </cfRule>
  </conditionalFormatting>
  <conditionalFormatting sqref="F131">
    <cfRule type="cellIs" dxfId="215" priority="167" operator="greaterThan">
      <formula>486.4</formula>
    </cfRule>
    <cfRule type="cellIs" dxfId="214" priority="162" operator="greaterThan">
      <formula>486.4</formula>
    </cfRule>
  </conditionalFormatting>
  <conditionalFormatting sqref="F132">
    <cfRule type="cellIs" dxfId="213" priority="166" operator="greaterThan">
      <formula>478.9</formula>
    </cfRule>
    <cfRule type="cellIs" dxfId="212" priority="161" operator="greaterThan">
      <formula>478.9</formula>
    </cfRule>
  </conditionalFormatting>
  <conditionalFormatting sqref="F133">
    <cfRule type="cellIs" dxfId="211" priority="160" operator="greaterThan">
      <formula>343</formula>
    </cfRule>
  </conditionalFormatting>
  <conditionalFormatting sqref="F134">
    <cfRule type="cellIs" dxfId="210" priority="159" operator="greaterThan">
      <formula>297.95</formula>
    </cfRule>
  </conditionalFormatting>
  <conditionalFormatting sqref="F135">
    <cfRule type="cellIs" dxfId="209" priority="158" operator="greaterThan">
      <formula>355.85</formula>
    </cfRule>
  </conditionalFormatting>
  <conditionalFormatting sqref="F136">
    <cfRule type="cellIs" dxfId="208" priority="157" operator="greaterThan">
      <formula>155.75</formula>
    </cfRule>
  </conditionalFormatting>
  <conditionalFormatting sqref="F137">
    <cfRule type="cellIs" dxfId="207" priority="156" operator="greaterThan">
      <formula>625.38</formula>
    </cfRule>
  </conditionalFormatting>
  <conditionalFormatting sqref="F138">
    <cfRule type="cellIs" dxfId="206" priority="155" operator="greaterThan">
      <formula>47.6</formula>
    </cfRule>
  </conditionalFormatting>
  <conditionalFormatting sqref="F139">
    <cfRule type="cellIs" dxfId="205" priority="154" operator="greaterThan">
      <formula>94.8</formula>
    </cfRule>
  </conditionalFormatting>
  <conditionalFormatting sqref="F140">
    <cfRule type="cellIs" dxfId="204" priority="153" operator="greaterThan">
      <formula>74.55</formula>
    </cfRule>
  </conditionalFormatting>
  <conditionalFormatting sqref="F141">
    <cfRule type="cellIs" dxfId="203" priority="152" operator="greaterThan">
      <formula>17.5</formula>
    </cfRule>
  </conditionalFormatting>
  <conditionalFormatting sqref="F142">
    <cfRule type="cellIs" dxfId="202" priority="151" operator="greaterThan">
      <formula>262.5</formula>
    </cfRule>
  </conditionalFormatting>
  <conditionalFormatting sqref="F143">
    <cfRule type="cellIs" dxfId="201" priority="150" operator="greaterThan">
      <formula>262.5</formula>
    </cfRule>
  </conditionalFormatting>
  <conditionalFormatting sqref="F144">
    <cfRule type="cellIs" dxfId="200" priority="149" operator="greaterThan">
      <formula>417.78</formula>
    </cfRule>
  </conditionalFormatting>
  <conditionalFormatting sqref="F145">
    <cfRule type="cellIs" dxfId="199" priority="148" operator="greaterThan">
      <formula>244</formula>
    </cfRule>
  </conditionalFormatting>
  <conditionalFormatting sqref="F146">
    <cfRule type="cellIs" dxfId="198" priority="147" operator="greaterThan">
      <formula>116</formula>
    </cfRule>
  </conditionalFormatting>
  <conditionalFormatting sqref="F147">
    <cfRule type="cellIs" dxfId="197" priority="146" operator="greaterThan">
      <formula>528</formula>
    </cfRule>
  </conditionalFormatting>
  <conditionalFormatting sqref="F148">
    <cfRule type="cellIs" dxfId="196" priority="145" operator="greaterThan">
      <formula>215</formula>
    </cfRule>
  </conditionalFormatting>
  <conditionalFormatting sqref="F149">
    <cfRule type="cellIs" dxfId="195" priority="144" operator="greaterThan">
      <formula>15</formula>
    </cfRule>
  </conditionalFormatting>
  <conditionalFormatting sqref="F150">
    <cfRule type="cellIs" dxfId="194" priority="143" operator="greaterThan">
      <formula>278</formula>
    </cfRule>
  </conditionalFormatting>
  <conditionalFormatting sqref="F151">
    <cfRule type="cellIs" dxfId="193" priority="142" operator="greaterThan">
      <formula>162</formula>
    </cfRule>
    <cfRule type="cellIs" dxfId="192" priority="141" operator="greaterThan">
      <formula>162</formula>
    </cfRule>
  </conditionalFormatting>
  <conditionalFormatting sqref="F152">
    <cfRule type="cellIs" dxfId="191" priority="140" operator="greaterThan">
      <formula>77</formula>
    </cfRule>
  </conditionalFormatting>
  <conditionalFormatting sqref="F153">
    <cfRule type="cellIs" dxfId="190" priority="139" operator="greaterThan">
      <formula>490</formula>
    </cfRule>
  </conditionalFormatting>
  <conditionalFormatting sqref="F154">
    <cfRule type="cellIs" dxfId="189" priority="138" operator="greaterThan">
      <formula>915.9</formula>
    </cfRule>
  </conditionalFormatting>
  <conditionalFormatting sqref="F155">
    <cfRule type="cellIs" dxfId="188" priority="137" operator="greaterThan">
      <formula>285</formula>
    </cfRule>
  </conditionalFormatting>
  <conditionalFormatting sqref="F156">
    <cfRule type="cellIs" dxfId="187" priority="136" operator="greaterThan">
      <formula>64.1</formula>
    </cfRule>
  </conditionalFormatting>
  <conditionalFormatting sqref="F157">
    <cfRule type="cellIs" dxfId="186" priority="135" operator="greaterThan">
      <formula>744.03</formula>
    </cfRule>
  </conditionalFormatting>
  <conditionalFormatting sqref="F158">
    <cfRule type="cellIs" dxfId="185" priority="134" operator="greaterThan">
      <formula>341.25</formula>
    </cfRule>
  </conditionalFormatting>
  <conditionalFormatting sqref="F159">
    <cfRule type="cellIs" dxfId="184" priority="133" operator="greaterThan">
      <formula>23</formula>
    </cfRule>
  </conditionalFormatting>
  <conditionalFormatting sqref="F160">
    <cfRule type="cellIs" dxfId="183" priority="132" operator="greaterThan">
      <formula>898</formula>
    </cfRule>
  </conditionalFormatting>
  <conditionalFormatting sqref="F161">
    <cfRule type="cellIs" dxfId="182" priority="131" operator="greaterThan">
      <formula>4698</formula>
    </cfRule>
  </conditionalFormatting>
  <conditionalFormatting sqref="F162">
    <cfRule type="cellIs" dxfId="181" priority="130" operator="greaterThan">
      <formula>5039</formula>
    </cfRule>
  </conditionalFormatting>
  <conditionalFormatting sqref="F163">
    <cfRule type="cellIs" dxfId="180" priority="129" operator="greaterThan">
      <formula>477.4</formula>
    </cfRule>
  </conditionalFormatting>
  <conditionalFormatting sqref="F164">
    <cfRule type="cellIs" dxfId="179" priority="128" operator="greaterThan">
      <formula>277.5</formula>
    </cfRule>
  </conditionalFormatting>
  <conditionalFormatting sqref="F165">
    <cfRule type="cellIs" dxfId="178" priority="127" operator="greaterThan">
      <formula>417.24</formula>
    </cfRule>
  </conditionalFormatting>
  <conditionalFormatting sqref="F166">
    <cfRule type="cellIs" dxfId="177" priority="126" operator="greaterThan">
      <formula>31.6</formula>
    </cfRule>
  </conditionalFormatting>
  <conditionalFormatting sqref="F167">
    <cfRule type="cellIs" dxfId="176" priority="125" operator="greaterThan">
      <formula>110</formula>
    </cfRule>
  </conditionalFormatting>
  <conditionalFormatting sqref="F168">
    <cfRule type="cellIs" dxfId="175" priority="124" operator="greaterThan">
      <formula>926</formula>
    </cfRule>
  </conditionalFormatting>
  <conditionalFormatting sqref="F169">
    <cfRule type="cellIs" dxfId="174" priority="123" operator="greaterThan">
      <formula>1354.5</formula>
    </cfRule>
  </conditionalFormatting>
  <conditionalFormatting sqref="F170">
    <cfRule type="cellIs" dxfId="173" priority="122" operator="greaterThan">
      <formula>796.5</formula>
    </cfRule>
  </conditionalFormatting>
  <conditionalFormatting sqref="F171">
    <cfRule type="cellIs" dxfId="172" priority="121" operator="greaterThan">
      <formula>672</formula>
    </cfRule>
    <cfRule type="cellIs" dxfId="171" priority="120" operator="greaterThan">
      <formula>672</formula>
    </cfRule>
  </conditionalFormatting>
  <conditionalFormatting sqref="F172">
    <cfRule type="cellIs" dxfId="170" priority="119" operator="greaterThan">
      <formula>260</formula>
    </cfRule>
  </conditionalFormatting>
  <conditionalFormatting sqref="F173">
    <cfRule type="cellIs" dxfId="169" priority="118" operator="greaterThan">
      <formula>21.3</formula>
    </cfRule>
  </conditionalFormatting>
  <conditionalFormatting sqref="F174">
    <cfRule type="cellIs" dxfId="168" priority="117" operator="greaterThan">
      <formula>115.26</formula>
    </cfRule>
  </conditionalFormatting>
  <conditionalFormatting sqref="F175">
    <cfRule type="cellIs" dxfId="167" priority="116" operator="greaterThan">
      <formula>415.1</formula>
    </cfRule>
  </conditionalFormatting>
  <conditionalFormatting sqref="F176">
    <cfRule type="cellIs" dxfId="166" priority="115" operator="greaterThan">
      <formula>614.43</formula>
    </cfRule>
  </conditionalFormatting>
  <conditionalFormatting sqref="F177">
    <cfRule type="cellIs" dxfId="165" priority="114" operator="greaterThan">
      <formula>480</formula>
    </cfRule>
  </conditionalFormatting>
  <conditionalFormatting sqref="F178">
    <cfRule type="cellIs" dxfId="164" priority="113" operator="greaterThan">
      <formula>690.4</formula>
    </cfRule>
  </conditionalFormatting>
  <conditionalFormatting sqref="F179">
    <cfRule type="cellIs" dxfId="163" priority="112" operator="greaterThan">
      <formula>82.8</formula>
    </cfRule>
  </conditionalFormatting>
  <conditionalFormatting sqref="F180">
    <cfRule type="cellIs" dxfId="162" priority="111" operator="greaterThan">
      <formula>46.5</formula>
    </cfRule>
    <cfRule type="cellIs" dxfId="161" priority="110" operator="greaterThan">
      <formula>46.5</formula>
    </cfRule>
  </conditionalFormatting>
  <conditionalFormatting sqref="F181">
    <cfRule type="cellIs" dxfId="160" priority="109" operator="greaterThan">
      <formula>426.56</formula>
    </cfRule>
  </conditionalFormatting>
  <conditionalFormatting sqref="F182">
    <cfRule type="cellIs" dxfId="159" priority="108" operator="greaterThan">
      <formula>448.82</formula>
    </cfRule>
  </conditionalFormatting>
  <conditionalFormatting sqref="F183">
    <cfRule type="cellIs" dxfId="158" priority="107" operator="greaterThan">
      <formula>9.02</formula>
    </cfRule>
  </conditionalFormatting>
  <conditionalFormatting sqref="F184">
    <cfRule type="cellIs" dxfId="157" priority="106" operator="greaterThan">
      <formula>30.57</formula>
    </cfRule>
  </conditionalFormatting>
  <conditionalFormatting sqref="F185">
    <cfRule type="cellIs" dxfId="156" priority="105" operator="greaterThan">
      <formula>47.07</formula>
    </cfRule>
  </conditionalFormatting>
  <conditionalFormatting sqref="F186">
    <cfRule type="cellIs" dxfId="155" priority="104" operator="greaterThan">
      <formula>1797</formula>
    </cfRule>
  </conditionalFormatting>
  <conditionalFormatting sqref="F187">
    <cfRule type="cellIs" dxfId="154" priority="103" operator="greaterThan">
      <formula>3048.6</formula>
    </cfRule>
  </conditionalFormatting>
  <conditionalFormatting sqref="F188">
    <cfRule type="cellIs" dxfId="153" priority="102" operator="greaterThan">
      <formula>555.5</formula>
    </cfRule>
  </conditionalFormatting>
  <conditionalFormatting sqref="F189">
    <cfRule type="cellIs" dxfId="152" priority="101" operator="greaterThan">
      <formula>210.87</formula>
    </cfRule>
  </conditionalFormatting>
  <conditionalFormatting sqref="F190">
    <cfRule type="cellIs" dxfId="151" priority="100" operator="greaterThan">
      <formula>241</formula>
    </cfRule>
  </conditionalFormatting>
  <conditionalFormatting sqref="F191">
    <cfRule type="cellIs" dxfId="150" priority="99" operator="greaterThan">
      <formula>723</formula>
    </cfRule>
  </conditionalFormatting>
  <conditionalFormatting sqref="F192">
    <cfRule type="cellIs" dxfId="149" priority="98" operator="greaterThan">
      <formula>202.21</formula>
    </cfRule>
  </conditionalFormatting>
  <conditionalFormatting sqref="F193">
    <cfRule type="cellIs" dxfId="148" priority="97" operator="greaterThan">
      <formula>69.34</formula>
    </cfRule>
  </conditionalFormatting>
  <conditionalFormatting sqref="F194">
    <cfRule type="cellIs" dxfId="147" priority="96" operator="greaterThan">
      <formula>24.56</formula>
    </cfRule>
  </conditionalFormatting>
  <conditionalFormatting sqref="F195">
    <cfRule type="cellIs" dxfId="146" priority="95" operator="greaterThan">
      <formula>31.62</formula>
    </cfRule>
  </conditionalFormatting>
  <conditionalFormatting sqref="F196">
    <cfRule type="cellIs" dxfId="145" priority="94" operator="greaterThan">
      <formula>50.2</formula>
    </cfRule>
  </conditionalFormatting>
  <conditionalFormatting sqref="F197">
    <cfRule type="cellIs" dxfId="144" priority="93" operator="greaterThan">
      <formula>64.42</formula>
    </cfRule>
  </conditionalFormatting>
  <conditionalFormatting sqref="F198">
    <cfRule type="cellIs" dxfId="143" priority="92" operator="greaterThan">
      <formula>110.84</formula>
    </cfRule>
  </conditionalFormatting>
  <conditionalFormatting sqref="F199">
    <cfRule type="cellIs" dxfId="142" priority="91" operator="greaterThan">
      <formula>154.38</formula>
    </cfRule>
  </conditionalFormatting>
  <conditionalFormatting sqref="F200">
    <cfRule type="cellIs" dxfId="141" priority="90" operator="greaterThan">
      <formula>320.17</formula>
    </cfRule>
  </conditionalFormatting>
  <conditionalFormatting sqref="F201">
    <cfRule type="cellIs" dxfId="140" priority="89" operator="greaterThan">
      <formula>387.62</formula>
    </cfRule>
  </conditionalFormatting>
  <conditionalFormatting sqref="F202">
    <cfRule type="cellIs" dxfId="139" priority="88" operator="greaterThan">
      <formula>40.81</formula>
    </cfRule>
  </conditionalFormatting>
  <conditionalFormatting sqref="F203">
    <cfRule type="cellIs" dxfId="138" priority="87" operator="greaterThan">
      <formula>90.84</formula>
    </cfRule>
  </conditionalFormatting>
  <conditionalFormatting sqref="F204">
    <cfRule type="cellIs" dxfId="137" priority="86" operator="greaterThan">
      <formula>93.9</formula>
    </cfRule>
  </conditionalFormatting>
  <conditionalFormatting sqref="F205">
    <cfRule type="cellIs" dxfId="136" priority="85" operator="greaterThan">
      <formula>190</formula>
    </cfRule>
  </conditionalFormatting>
  <conditionalFormatting sqref="F206">
    <cfRule type="cellIs" dxfId="135" priority="84" operator="greaterThan">
      <formula>22</formula>
    </cfRule>
  </conditionalFormatting>
  <conditionalFormatting sqref="F207">
    <cfRule type="cellIs" dxfId="134" priority="83" operator="greaterThan">
      <formula>463.75</formula>
    </cfRule>
  </conditionalFormatting>
  <conditionalFormatting sqref="F208">
    <cfRule type="cellIs" dxfId="133" priority="82" operator="greaterThan">
      <formula>709.2</formula>
    </cfRule>
  </conditionalFormatting>
  <conditionalFormatting sqref="F209">
    <cfRule type="cellIs" dxfId="132" priority="81" operator="greaterThan">
      <formula>191.1</formula>
    </cfRule>
  </conditionalFormatting>
  <conditionalFormatting sqref="F210">
    <cfRule type="cellIs" dxfId="131" priority="80" operator="greaterThan">
      <formula>289.2</formula>
    </cfRule>
  </conditionalFormatting>
  <conditionalFormatting sqref="F211">
    <cfRule type="cellIs" dxfId="130" priority="79" operator="greaterThan">
      <formula>297</formula>
    </cfRule>
  </conditionalFormatting>
  <conditionalFormatting sqref="F212">
    <cfRule type="cellIs" dxfId="129" priority="78" operator="greaterThan">
      <formula>367.12</formula>
    </cfRule>
  </conditionalFormatting>
  <conditionalFormatting sqref="F213">
    <cfRule type="cellIs" dxfId="128" priority="77" operator="greaterThan">
      <formula>2524.14</formula>
    </cfRule>
  </conditionalFormatting>
  <conditionalFormatting sqref="F214">
    <cfRule type="cellIs" dxfId="127" priority="76" operator="greaterThan">
      <formula>895.68</formula>
    </cfRule>
  </conditionalFormatting>
  <conditionalFormatting sqref="F215">
    <cfRule type="cellIs" dxfId="126" priority="75" operator="greaterThan">
      <formula>685.65</formula>
    </cfRule>
  </conditionalFormatting>
  <conditionalFormatting sqref="F216">
    <cfRule type="cellIs" dxfId="125" priority="74" operator="greaterThan">
      <formula>597.75</formula>
    </cfRule>
  </conditionalFormatting>
  <conditionalFormatting sqref="F217">
    <cfRule type="cellIs" dxfId="124" priority="73" operator="greaterThan">
      <formula>200</formula>
    </cfRule>
  </conditionalFormatting>
  <conditionalFormatting sqref="F218">
    <cfRule type="cellIs" dxfId="123" priority="72" operator="greaterThan">
      <formula>1805.7</formula>
    </cfRule>
  </conditionalFormatting>
  <conditionalFormatting sqref="F219">
    <cfRule type="cellIs" dxfId="122" priority="71" operator="greaterThan">
      <formula>913.1</formula>
    </cfRule>
  </conditionalFormatting>
  <conditionalFormatting sqref="F220">
    <cfRule type="cellIs" dxfId="121" priority="70" operator="greaterThan">
      <formula>189</formula>
    </cfRule>
  </conditionalFormatting>
  <conditionalFormatting sqref="F221">
    <cfRule type="cellIs" dxfId="120" priority="69" operator="greaterThan">
      <formula>49.3</formula>
    </cfRule>
  </conditionalFormatting>
  <conditionalFormatting sqref="F222">
    <cfRule type="cellIs" dxfId="119" priority="68" operator="greaterThan">
      <formula>115.3</formula>
    </cfRule>
  </conditionalFormatting>
  <conditionalFormatting sqref="F223">
    <cfRule type="cellIs" dxfId="118" priority="67" operator="greaterThan">
      <formula>46.11</formula>
    </cfRule>
  </conditionalFormatting>
  <conditionalFormatting sqref="F224">
    <cfRule type="cellIs" dxfId="117" priority="66" operator="greaterThan">
      <formula>97.53</formula>
    </cfRule>
  </conditionalFormatting>
  <conditionalFormatting sqref="F225">
    <cfRule type="cellIs" dxfId="116" priority="65" operator="greaterThan">
      <formula>109.74</formula>
    </cfRule>
  </conditionalFormatting>
  <conditionalFormatting sqref="F226">
    <cfRule type="cellIs" dxfId="115" priority="64" operator="greaterThan">
      <formula>250.97</formula>
    </cfRule>
  </conditionalFormatting>
  <conditionalFormatting sqref="F227">
    <cfRule type="cellIs" dxfId="114" priority="63" operator="greaterThan">
      <formula>0.74</formula>
    </cfRule>
  </conditionalFormatting>
  <conditionalFormatting sqref="F228">
    <cfRule type="cellIs" dxfId="113" priority="62" operator="greaterThan">
      <formula>0.9</formula>
    </cfRule>
  </conditionalFormatting>
  <conditionalFormatting sqref="F229">
    <cfRule type="cellIs" dxfId="112" priority="61" operator="greaterThan">
      <formula>3.01</formula>
    </cfRule>
  </conditionalFormatting>
  <conditionalFormatting sqref="F230">
    <cfRule type="cellIs" dxfId="111" priority="60" operator="greaterThan">
      <formula>0.96</formula>
    </cfRule>
  </conditionalFormatting>
  <conditionalFormatting sqref="F231">
    <cfRule type="cellIs" dxfId="110" priority="59" operator="greaterThan">
      <formula>1.02</formula>
    </cfRule>
  </conditionalFormatting>
  <conditionalFormatting sqref="F232">
    <cfRule type="cellIs" dxfId="109" priority="58" operator="greaterThan">
      <formula>2.48</formula>
    </cfRule>
  </conditionalFormatting>
  <conditionalFormatting sqref="F233">
    <cfRule type="cellIs" dxfId="108" priority="57" operator="greaterThan">
      <formula>1.32</formula>
    </cfRule>
  </conditionalFormatting>
  <conditionalFormatting sqref="F234">
    <cfRule type="cellIs" dxfId="107" priority="56" operator="greaterThan">
      <formula>1.49</formula>
    </cfRule>
  </conditionalFormatting>
  <conditionalFormatting sqref="F235">
    <cfRule type="cellIs" dxfId="106" priority="55" operator="greaterThan">
      <formula>4.69</formula>
    </cfRule>
  </conditionalFormatting>
  <conditionalFormatting sqref="F236">
    <cfRule type="cellIs" dxfId="105" priority="54" operator="greaterThan">
      <formula>0.74</formula>
    </cfRule>
  </conditionalFormatting>
  <conditionalFormatting sqref="F237">
    <cfRule type="cellIs" dxfId="104" priority="53" operator="greaterThan">
      <formula>1.19</formula>
    </cfRule>
  </conditionalFormatting>
  <conditionalFormatting sqref="F238">
    <cfRule type="cellIs" dxfId="103" priority="52" operator="greaterThan">
      <formula>4.53</formula>
    </cfRule>
  </conditionalFormatting>
  <conditionalFormatting sqref="F239">
    <cfRule type="cellIs" dxfId="102" priority="51" operator="greaterThan">
      <formula>8.09</formula>
    </cfRule>
  </conditionalFormatting>
  <conditionalFormatting sqref="F240">
    <cfRule type="cellIs" dxfId="101" priority="50" operator="greaterThan">
      <formula>1.01</formula>
    </cfRule>
  </conditionalFormatting>
  <conditionalFormatting sqref="F241">
    <cfRule type="cellIs" dxfId="100" priority="49" operator="greaterThan">
      <formula>1.11</formula>
    </cfRule>
  </conditionalFormatting>
  <conditionalFormatting sqref="F242">
    <cfRule type="cellIs" dxfId="99" priority="48" operator="greaterThan">
      <formula>2.23</formula>
    </cfRule>
  </conditionalFormatting>
  <conditionalFormatting sqref="F243">
    <cfRule type="cellIs" dxfId="98" priority="47" operator="greaterThan">
      <formula>2.86</formula>
    </cfRule>
  </conditionalFormatting>
  <conditionalFormatting sqref="F244">
    <cfRule type="cellIs" dxfId="97" priority="46" operator="greaterThan">
      <formula>3.94</formula>
    </cfRule>
  </conditionalFormatting>
  <conditionalFormatting sqref="F245">
    <cfRule type="cellIs" dxfId="96" priority="45" operator="greaterThan">
      <formula>10.69</formula>
    </cfRule>
  </conditionalFormatting>
  <conditionalFormatting sqref="F246">
    <cfRule type="cellIs" dxfId="95" priority="44" operator="greaterThan">
      <formula>4.76</formula>
    </cfRule>
  </conditionalFormatting>
  <conditionalFormatting sqref="F247">
    <cfRule type="cellIs" dxfId="94" priority="43" operator="greaterThan">
      <formula>9.66</formula>
    </cfRule>
  </conditionalFormatting>
  <conditionalFormatting sqref="F248">
    <cfRule type="cellIs" dxfId="93" priority="42" operator="greaterThan">
      <formula>20.58</formula>
    </cfRule>
  </conditionalFormatting>
  <conditionalFormatting sqref="F249">
    <cfRule type="cellIs" dxfId="92" priority="41" operator="greaterThan">
      <formula>2.06</formula>
    </cfRule>
  </conditionalFormatting>
  <conditionalFormatting sqref="F250">
    <cfRule type="cellIs" dxfId="91" priority="40" operator="greaterThan">
      <formula>4.25</formula>
    </cfRule>
  </conditionalFormatting>
  <conditionalFormatting sqref="F251">
    <cfRule type="cellIs" dxfId="90" priority="39" operator="greaterThan">
      <formula>8.43</formula>
    </cfRule>
  </conditionalFormatting>
  <conditionalFormatting sqref="F252">
    <cfRule type="cellIs" dxfId="89" priority="38" operator="greaterThan">
      <formula>23.73</formula>
    </cfRule>
  </conditionalFormatting>
  <conditionalFormatting sqref="F253">
    <cfRule type="cellIs" dxfId="88" priority="37" operator="greaterThan">
      <formula>12.68</formula>
    </cfRule>
  </conditionalFormatting>
  <conditionalFormatting sqref="F254">
    <cfRule type="cellIs" dxfId="87" priority="36" operator="greaterThan">
      <formula>30.9</formula>
    </cfRule>
  </conditionalFormatting>
  <conditionalFormatting sqref="F255">
    <cfRule type="cellIs" dxfId="86" priority="35" operator="greaterThan">
      <formula>4.57</formula>
    </cfRule>
  </conditionalFormatting>
  <conditionalFormatting sqref="F256">
    <cfRule type="cellIs" dxfId="85" priority="34" operator="greaterThan">
      <formula>5.16</formula>
    </cfRule>
    <cfRule type="cellIs" dxfId="84" priority="33" operator="greaterThan">
      <formula>5.16</formula>
    </cfRule>
  </conditionalFormatting>
  <conditionalFormatting sqref="F257">
    <cfRule type="cellIs" dxfId="83" priority="32" operator="greaterThan">
      <formula>17.49</formula>
    </cfRule>
  </conditionalFormatting>
  <conditionalFormatting sqref="F258">
    <cfRule type="cellIs" dxfId="82" priority="31" operator="greaterThan">
      <formula>8.37</formula>
    </cfRule>
  </conditionalFormatting>
  <conditionalFormatting sqref="F259">
    <cfRule type="cellIs" dxfId="81" priority="30" operator="greaterThan">
      <formula>13.83</formula>
    </cfRule>
  </conditionalFormatting>
  <conditionalFormatting sqref="F260">
    <cfRule type="cellIs" dxfId="80" priority="29" operator="greaterThan">
      <formula>19.17</formula>
    </cfRule>
  </conditionalFormatting>
  <conditionalFormatting sqref="F261">
    <cfRule type="cellIs" dxfId="79" priority="28" operator="greaterThan">
      <formula>515.25</formula>
    </cfRule>
  </conditionalFormatting>
  <conditionalFormatting sqref="F262">
    <cfRule type="cellIs" dxfId="78" priority="27" operator="greaterThan">
      <formula>1075</formula>
    </cfRule>
  </conditionalFormatting>
  <conditionalFormatting sqref="F263">
    <cfRule type="cellIs" dxfId="77" priority="26" operator="greaterThan">
      <formula>1337.25</formula>
    </cfRule>
  </conditionalFormatting>
  <conditionalFormatting sqref="F264">
    <cfRule type="cellIs" dxfId="76" priority="25" operator="greaterThan">
      <formula>792.5</formula>
    </cfRule>
  </conditionalFormatting>
  <conditionalFormatting sqref="F265">
    <cfRule type="cellIs" dxfId="75" priority="24" operator="greaterThan">
      <formula>39.25</formula>
    </cfRule>
  </conditionalFormatting>
  <conditionalFormatting sqref="F266">
    <cfRule type="cellIs" dxfId="74" priority="23" operator="greaterThan">
      <formula>31</formula>
    </cfRule>
  </conditionalFormatting>
  <conditionalFormatting sqref="F267">
    <cfRule type="cellIs" dxfId="73" priority="22" operator="greaterThan">
      <formula>38.25</formula>
    </cfRule>
  </conditionalFormatting>
  <conditionalFormatting sqref="F268">
    <cfRule type="cellIs" dxfId="72" priority="21" operator="greaterThan">
      <formula>65.25</formula>
    </cfRule>
  </conditionalFormatting>
  <conditionalFormatting sqref="F269">
    <cfRule type="cellIs" dxfId="71" priority="20" operator="greaterThan">
      <formula>854.26</formula>
    </cfRule>
  </conditionalFormatting>
  <conditionalFormatting sqref="F270">
    <cfRule type="cellIs" dxfId="70" priority="19" operator="greaterThan">
      <formula>596</formula>
    </cfRule>
  </conditionalFormatting>
  <conditionalFormatting sqref="F271">
    <cfRule type="cellIs" dxfId="69" priority="18" operator="greaterThan">
      <formula>422.16</formula>
    </cfRule>
  </conditionalFormatting>
  <conditionalFormatting sqref="F272">
    <cfRule type="cellIs" dxfId="68" priority="17" operator="greaterThan">
      <formula>107.1</formula>
    </cfRule>
  </conditionalFormatting>
  <conditionalFormatting sqref="F273">
    <cfRule type="cellIs" dxfId="67" priority="16" operator="greaterThan">
      <formula>200.68</formula>
    </cfRule>
  </conditionalFormatting>
  <conditionalFormatting sqref="F274">
    <cfRule type="cellIs" dxfId="66" priority="15" operator="greaterThan">
      <formula>264</formula>
    </cfRule>
  </conditionalFormatting>
  <conditionalFormatting sqref="F275">
    <cfRule type="cellIs" dxfId="65" priority="14" operator="greaterThan">
      <formula>727.6</formula>
    </cfRule>
  </conditionalFormatting>
  <conditionalFormatting sqref="F276">
    <cfRule type="cellIs" dxfId="64" priority="13" operator="greaterThan">
      <formula>637.8</formula>
    </cfRule>
  </conditionalFormatting>
  <conditionalFormatting sqref="F277">
    <cfRule type="cellIs" dxfId="63" priority="12" operator="greaterThan">
      <formula>1045.65</formula>
    </cfRule>
  </conditionalFormatting>
  <conditionalFormatting sqref="F278">
    <cfRule type="cellIs" dxfId="62" priority="11" operator="greaterThan">
      <formula>475.2</formula>
    </cfRule>
  </conditionalFormatting>
  <conditionalFormatting sqref="F279">
    <cfRule type="cellIs" dxfId="61" priority="10" operator="greaterThan">
      <formula>292.76</formula>
    </cfRule>
  </conditionalFormatting>
  <conditionalFormatting sqref="F280">
    <cfRule type="cellIs" dxfId="60" priority="9" operator="greaterThan">
      <formula>659.12</formula>
    </cfRule>
  </conditionalFormatting>
  <conditionalFormatting sqref="F281">
    <cfRule type="cellIs" dxfId="59" priority="8" operator="greaterThan">
      <formula>106.95</formula>
    </cfRule>
  </conditionalFormatting>
  <conditionalFormatting sqref="F282">
    <cfRule type="cellIs" dxfId="58" priority="7" operator="greaterThan">
      <formula>92.5</formula>
    </cfRule>
  </conditionalFormatting>
  <conditionalFormatting sqref="F283">
    <cfRule type="cellIs" dxfId="57" priority="6" operator="greaterThan">
      <formula>131.2</formula>
    </cfRule>
  </conditionalFormatting>
  <conditionalFormatting sqref="F284">
    <cfRule type="cellIs" dxfId="56" priority="5" operator="greaterThan">
      <formula>172.45</formula>
    </cfRule>
  </conditionalFormatting>
  <conditionalFormatting sqref="F285">
    <cfRule type="cellIs" dxfId="55" priority="4" operator="greaterThan">
      <formula>1385</formula>
    </cfRule>
  </conditionalFormatting>
  <conditionalFormatting sqref="F286">
    <cfRule type="cellIs" dxfId="54" priority="3" operator="greaterThan">
      <formula>1147.05</formula>
    </cfRule>
  </conditionalFormatting>
  <conditionalFormatting sqref="F287">
    <cfRule type="cellIs" dxfId="53" priority="2" operator="greaterThan">
      <formula>1592.08</formula>
    </cfRule>
  </conditionalFormatting>
  <conditionalFormatting sqref="J13">
    <cfRule type="cellIs" dxfId="52" priority="1" operator="greaterThan">
      <formula>0.1528</formula>
    </cfRule>
  </conditionalFormatting>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Notas Explicativas</vt:lpstr>
      <vt:lpstr>PROPOSTA</vt:lpstr>
      <vt:lpstr>Eletrotécnico</vt:lpstr>
      <vt:lpstr>Técnico de Automação</vt:lpstr>
      <vt:lpstr>Técnico em Ar Cond</vt:lpstr>
      <vt:lpstr>Artífice</vt:lpstr>
      <vt:lpstr>Insumos</vt:lpstr>
      <vt:lpstr>Custos de Viagens</vt:lpstr>
      <vt:lpstr>Materiais e Peças</vt:lpstr>
      <vt:lpstr>Serviços Eventuais</vt:lpstr>
      <vt:lpstr>Serviços Especializados</vt:lpstr>
    </vt:vector>
  </TitlesOfParts>
  <Company>Policia Federal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Manoel Gratex Ribeiro</dc:creator>
  <cp:lastModifiedBy>Carlos Manoel Gratex Ribeiro</cp:lastModifiedBy>
  <dcterms:created xsi:type="dcterms:W3CDTF">2025-04-16T16:18:08Z</dcterms:created>
  <dcterms:modified xsi:type="dcterms:W3CDTF">2025-06-10T17:53:21Z</dcterms:modified>
</cp:coreProperties>
</file>